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<sst xmlns="http://schemas.openxmlformats.org/spreadsheetml/2006/main" count="1596" uniqueCount="135">
  <si>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</si>
  <si>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</si>
  <si>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</si>
  <si>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</si>
  <si>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</si>
  <si>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</si>
  <si>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</si>
  <si>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</si>
  <si>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</si>
  <si>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</si>
  <si>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</si>
  <si>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</si>
  <si>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</si>
  <si>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</si>
  <si>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</si>
  <si>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</si>
  <si>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</si>
  <si>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</si>
  <si>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</si>
  <si>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</si>
  <si>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</si>
  <si>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</si>
  <si>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</si>
  <si>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</si>
  <si>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</si>
  <si>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</si>
  <si>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</si>
  <si>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</si>
  <si>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</si>
  <si>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</si>
  <si>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</si>
  <si>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</si>
  <si>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</si>
  <si>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</si>
  <si>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</si>
  <si>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</si>
  <si>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</si>
  <si>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</si>
  <si>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</si>
  <si>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</si>
  <si>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</si>
  <si>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</si>
  <si>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</si>
  <si>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</si>
  <si>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</si>
  <si>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</si>
  <si>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</si>
  <si>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</si>
  <si>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</si>
  <si>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</si>
  <si>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</si>
  <si>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</si>
  <si>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</si>
  <si>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</si>
  <si>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</si>
  <si>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</si>
  <si>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</si>
  <si>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</si>
  <si>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</si>
  <si>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</si>
  <si>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</si>
  <si>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</si>
  <si>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</si>
  <si>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</si>
  <si>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</si>
  <si>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</si>
  <si>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</si>
  <si>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</si>
  <si>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</si>
  <si>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</si>
  <si>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</si>
  <si>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</si>
  <si>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</si>
  <si>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</si>
  <si>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</si>
  <si>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</si>
  <si>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</si>
  <si>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</si>
  <si>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</si>
  <si>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</si>
  <si>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</si>
  <si>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</si>
  <si>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</si>
  <si>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</si>
  <si>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</si>
  <si>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</si>
  <si>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</si>
  <si>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</si>
  <si>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</si>
  <si>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</si>
  <si>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</si>
  <si>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</si>
  <si>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</si>
  <si>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</si>
  <si>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</si>
  <si>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</si>
  <si>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</si>
  <si>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</si>
  <si>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</si>
  <si>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</si>
  <si>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</si>
  <si>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</si>
  <si>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</si>
  <si>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</si>
  <si>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</si>
  <si>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</si>
  <si>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</si>
  <si>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</si>
  <si>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</si>
  <si>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</si>
  <si>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</si>
  <si>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</si>
  <si>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</si>
  <si>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</si>
  <si>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</si>
  <si>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</si>
  <si>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</si>
  <si>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</si>
  <si>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</si>
  <si>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</si>
  <si>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</si>
  <si>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</si>
  <si>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</si>
  <si>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</si>
  <si>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</si>
  <si>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</si>
  <si>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</si>
  <si>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</si>
  <si>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</si>
  <si>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</si>
  <si>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</si>
  <si>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</si>
  <si>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</si>
  <si>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</si>
  <si>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Jan-Nov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</si>
</sst>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60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80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80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center" wrapText="1"/>
    </xf>
    <xf numFmtId="182" fontId="83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81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Fill="1" applyBorder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2" fontId="81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81" fillId="0" borderId="0" xfId="0" applyFont="1" applyBorder="1" applyAlignment="1">
      <alignment horizontal="center"/>
    </xf>
    <xf numFmtId="1" fontId="81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81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81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81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81" fillId="0" borderId="0" xfId="0" applyNumberFormat="1" applyFont="1" applyFill="1" applyAlignment="1">
      <alignment horizontal="center"/>
    </xf>
    <xf numFmtId="2" fontId="16" fillId="0" borderId="0" xfId="60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 applyProtection="1">
      <alignment/>
      <protection/>
    </xf>
    <xf numFmtId="182" fontId="5" fillId="0" borderId="0" xfId="60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182" fontId="83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182" fontId="4" fillId="0" borderId="0" xfId="0" applyNumberFormat="1" applyFont="1" applyAlignment="1" applyProtection="1">
      <alignment horizontal="center"/>
      <protection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7">
      <selection activeCell="A45" sqref="A45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 aca="true" t="shared" si="1" ref="AX8:AX18"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2" ref="AV9:AW19">(AB9-AA9)/AA9*100</f>
        <v>30.13074602141631</v>
      </c>
      <c r="AW9" s="150">
        <f t="shared" si="0"/>
        <v>24.58174213493363</v>
      </c>
      <c r="AX9" s="150">
        <f t="shared" si="1"/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2"/>
        <v>40.55642753823901</v>
      </c>
      <c r="AW10" s="150">
        <f t="shared" si="0"/>
        <v>2.8172509177961107</v>
      </c>
      <c r="AX10" s="150">
        <f t="shared" si="1"/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>
        <v>314.143</v>
      </c>
      <c r="AE11" s="150">
        <f aca="true" t="shared" si="3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2"/>
        <v>11.950668751085626</v>
      </c>
      <c r="AW11" s="150">
        <f t="shared" si="0"/>
        <v>26.933835753075485</v>
      </c>
      <c r="AX11" s="150">
        <f t="shared" si="1"/>
        <v>9.71323398444456</v>
      </c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>
        <v>450.495</v>
      </c>
      <c r="AE12" s="150">
        <f t="shared" si="3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2"/>
        <v>18.700337291713414</v>
      </c>
      <c r="AW12" s="150">
        <f t="shared" si="0"/>
        <v>14.739014037808657</v>
      </c>
      <c r="AX12" s="150">
        <f t="shared" si="1"/>
        <v>7.585520093998064</v>
      </c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>
        <v>511.073</v>
      </c>
      <c r="AE13" s="150">
        <f t="shared" si="3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2"/>
        <v>22.597761798633098</v>
      </c>
      <c r="AW13" s="150">
        <f t="shared" si="0"/>
        <v>14.363105583446703</v>
      </c>
      <c r="AX13" s="150">
        <f t="shared" si="1"/>
        <v>8.175044978304582</v>
      </c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>
        <v>539.626</v>
      </c>
      <c r="AE14" s="150">
        <f t="shared" si="3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2"/>
        <v>16.308949718594935</v>
      </c>
      <c r="AW14" s="150">
        <f t="shared" si="0"/>
        <v>10.142035791028176</v>
      </c>
      <c r="AX14" s="150">
        <f t="shared" si="1"/>
        <v>1.6187409374234987</v>
      </c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>
        <v>534.847</v>
      </c>
      <c r="AE15" s="150">
        <f t="shared" si="3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2"/>
        <v>16.920147244768934</v>
      </c>
      <c r="AW15" s="150">
        <f t="shared" si="0"/>
        <v>14.173489300003265</v>
      </c>
      <c r="AX15" s="150">
        <f t="shared" si="1"/>
        <v>2.1380652381070653</v>
      </c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>
        <v>520.138</v>
      </c>
      <c r="AE16" s="150">
        <f t="shared" si="3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2"/>
        <v>16.708829894236345</v>
      </c>
      <c r="AW16" s="150">
        <f t="shared" si="0"/>
        <v>14.842082521171598</v>
      </c>
      <c r="AX16" s="150">
        <f t="shared" si="1"/>
        <v>7.529624821176068</v>
      </c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>
        <v>433.617</v>
      </c>
      <c r="AE17" s="150">
        <f t="shared" si="3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2"/>
        <v>32.606928197265404</v>
      </c>
      <c r="AW17" s="150">
        <f t="shared" si="0"/>
        <v>13.90728847629019</v>
      </c>
      <c r="AX17" s="150">
        <f t="shared" si="1"/>
        <v>6.573844225428273</v>
      </c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>
        <v>158.685</v>
      </c>
      <c r="AE18" s="150">
        <f t="shared" si="3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2"/>
        <v>14.89365638848028</v>
      </c>
      <c r="AW18" s="150">
        <f t="shared" si="0"/>
        <v>16.493816026797216</v>
      </c>
      <c r="AX18" s="150">
        <f t="shared" si="1"/>
        <v>9.6830158422959</v>
      </c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3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2"/>
        <v>12.226221473426262</v>
      </c>
      <c r="AW19" s="150">
        <f t="shared" si="2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4" ref="B21:V21">SUM(B8:B19)</f>
        <v>1561.4789999999998</v>
      </c>
      <c r="C21" s="155">
        <f t="shared" si="4"/>
        <v>1385.129</v>
      </c>
      <c r="D21" s="155">
        <f t="shared" si="4"/>
        <v>1991</v>
      </c>
      <c r="E21" s="155">
        <f t="shared" si="4"/>
        <v>1841</v>
      </c>
      <c r="F21" s="155">
        <f t="shared" si="4"/>
        <v>2069</v>
      </c>
      <c r="G21" s="155">
        <f t="shared" si="4"/>
        <v>2100</v>
      </c>
      <c r="H21" s="155">
        <f t="shared" si="4"/>
        <v>1950.0000000000002</v>
      </c>
      <c r="I21" s="155">
        <f t="shared" si="4"/>
        <v>2088</v>
      </c>
      <c r="J21" s="155">
        <f t="shared" si="4"/>
        <v>2222.701</v>
      </c>
      <c r="K21" s="155">
        <f t="shared" si="4"/>
        <v>2434.285</v>
      </c>
      <c r="L21" s="155">
        <f t="shared" si="4"/>
        <v>2686.2019999999998</v>
      </c>
      <c r="M21" s="155">
        <f t="shared" si="4"/>
        <v>2696.7280000000005</v>
      </c>
      <c r="N21" s="156">
        <f t="shared" si="4"/>
        <v>2418.233</v>
      </c>
      <c r="O21" s="156">
        <f>SUM(O8:O19)</f>
        <v>2303.2429999999995</v>
      </c>
      <c r="P21" s="156">
        <f t="shared" si="4"/>
        <v>2349.0069999999996</v>
      </c>
      <c r="Q21" s="156">
        <f t="shared" si="4"/>
        <v>2470.0570000000002</v>
      </c>
      <c r="R21" s="156">
        <f t="shared" si="4"/>
        <v>2400.9189999999994</v>
      </c>
      <c r="S21" s="156">
        <f t="shared" si="4"/>
        <v>2416.0750000000003</v>
      </c>
      <c r="T21" s="156">
        <f t="shared" si="4"/>
        <v>2403.744</v>
      </c>
      <c r="U21" s="156">
        <f t="shared" si="4"/>
        <v>2141.1870000000004</v>
      </c>
      <c r="V21" s="156">
        <f t="shared" si="4"/>
        <v>2172.9930000000004</v>
      </c>
      <c r="W21" s="156">
        <f aca="true" t="shared" si="5" ref="W21:AC21">SUM(W8:W19)</f>
        <v>2392.223</v>
      </c>
      <c r="X21" s="156">
        <f t="shared" si="5"/>
        <v>2464.9029999999993</v>
      </c>
      <c r="Y21" s="156">
        <f t="shared" si="5"/>
        <v>2405.387</v>
      </c>
      <c r="Z21" s="156">
        <f t="shared" si="5"/>
        <v>2441.2309999999998</v>
      </c>
      <c r="AA21" s="156">
        <f t="shared" si="5"/>
        <v>2659.3999999999996</v>
      </c>
      <c r="AB21" s="156">
        <f t="shared" si="5"/>
        <v>3186.531</v>
      </c>
      <c r="AC21" s="156">
        <f t="shared" si="5"/>
        <v>3652.073</v>
      </c>
      <c r="AD21" s="156"/>
      <c r="AE21" s="157">
        <f aca="true" t="shared" si="6" ref="AE21:AW21">(K21-J21)/J21*100</f>
        <v>9.519229082094254</v>
      </c>
      <c r="AF21" s="157">
        <f t="shared" si="6"/>
        <v>10.348706088235351</v>
      </c>
      <c r="AG21" s="157">
        <f t="shared" si="6"/>
        <v>0.39185437282828134</v>
      </c>
      <c r="AH21" s="157">
        <f t="shared" si="6"/>
        <v>-10.327144598936203</v>
      </c>
      <c r="AI21" s="157">
        <f t="shared" si="6"/>
        <v>-4.755124919724472</v>
      </c>
      <c r="AJ21" s="157">
        <f t="shared" si="6"/>
        <v>1.9869375484914156</v>
      </c>
      <c r="AK21" s="158">
        <f t="shared" si="6"/>
        <v>5.153241348365529</v>
      </c>
      <c r="AL21" s="159">
        <f t="shared" si="6"/>
        <v>-2.7990447184012686</v>
      </c>
      <c r="AM21" s="159">
        <f t="shared" si="6"/>
        <v>0.631258280683391</v>
      </c>
      <c r="AN21" s="159">
        <f t="shared" si="6"/>
        <v>-0.5103732293078704</v>
      </c>
      <c r="AO21" s="159">
        <f t="shared" si="6"/>
        <v>-10.922835376812163</v>
      </c>
      <c r="AP21" s="159">
        <f t="shared" si="6"/>
        <v>1.485437750182494</v>
      </c>
      <c r="AQ21" s="159">
        <f t="shared" si="6"/>
        <v>10.08884980301361</v>
      </c>
      <c r="AR21" s="159">
        <f t="shared" si="6"/>
        <v>3.0381782969229616</v>
      </c>
      <c r="AS21" s="159">
        <f t="shared" si="6"/>
        <v>-2.41453720491229</v>
      </c>
      <c r="AT21" s="159">
        <f t="shared" si="6"/>
        <v>1.4901552224236514</v>
      </c>
      <c r="AU21" s="159">
        <f t="shared" si="6"/>
        <v>8.936843748092658</v>
      </c>
      <c r="AV21" s="159">
        <f t="shared" si="6"/>
        <v>19.821425885538105</v>
      </c>
      <c r="AW21" s="159">
        <f t="shared" si="6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7" ref="B24:N24">B8</f>
        <v>46.398</v>
      </c>
      <c r="C24" s="147">
        <f t="shared" si="7"/>
        <v>27.528</v>
      </c>
      <c r="D24" s="147">
        <f t="shared" si="7"/>
        <v>52.7</v>
      </c>
      <c r="E24" s="147">
        <f t="shared" si="7"/>
        <v>67.2</v>
      </c>
      <c r="F24" s="147">
        <f t="shared" si="7"/>
        <v>55</v>
      </c>
      <c r="G24" s="147">
        <f t="shared" si="7"/>
        <v>53</v>
      </c>
      <c r="H24" s="147">
        <f t="shared" si="7"/>
        <v>69.9</v>
      </c>
      <c r="I24" s="147">
        <f t="shared" si="7"/>
        <v>67.731</v>
      </c>
      <c r="J24" s="147">
        <f t="shared" si="7"/>
        <v>54.291</v>
      </c>
      <c r="K24" s="147">
        <f t="shared" si="7"/>
        <v>57.74</v>
      </c>
      <c r="L24" s="147">
        <f t="shared" si="7"/>
        <v>63.553</v>
      </c>
      <c r="M24" s="147">
        <f t="shared" si="7"/>
        <v>64.213</v>
      </c>
      <c r="N24" s="148">
        <f t="shared" si="7"/>
        <v>54.067</v>
      </c>
      <c r="O24" s="148">
        <f>O8</f>
        <v>59.529</v>
      </c>
      <c r="P24" s="148">
        <f>P8</f>
        <v>56.504</v>
      </c>
      <c r="Q24" s="149">
        <f aca="true" t="shared" si="8" ref="Q24:W24">Q8</f>
        <v>58.894</v>
      </c>
      <c r="R24" s="149">
        <f t="shared" si="8"/>
        <v>54.875</v>
      </c>
      <c r="S24" s="149">
        <f t="shared" si="8"/>
        <v>51.848</v>
      </c>
      <c r="T24" s="149">
        <f t="shared" si="8"/>
        <v>50.658</v>
      </c>
      <c r="U24" s="149">
        <f t="shared" si="8"/>
        <v>47.066</v>
      </c>
      <c r="V24" s="149">
        <f t="shared" si="8"/>
        <v>45.952</v>
      </c>
      <c r="W24" s="149">
        <f t="shared" si="8"/>
        <v>44.442</v>
      </c>
      <c r="X24" s="149">
        <f aca="true" t="shared" si="9" ref="X24:AD24">X8</f>
        <v>47.61</v>
      </c>
      <c r="Y24" s="160">
        <f t="shared" si="9"/>
        <v>42.286</v>
      </c>
      <c r="Z24" s="160">
        <f t="shared" si="9"/>
        <v>40.675</v>
      </c>
      <c r="AA24" s="160">
        <f t="shared" si="9"/>
        <v>41.799</v>
      </c>
      <c r="AB24" s="160">
        <f t="shared" si="9"/>
        <v>48.607</v>
      </c>
      <c r="AC24" s="160">
        <f t="shared" si="9"/>
        <v>62.611</v>
      </c>
      <c r="AD24" s="160">
        <f t="shared" si="9"/>
        <v>75.867</v>
      </c>
      <c r="AE24" s="150">
        <f aca="true" t="shared" si="10" ref="AE24:AT35">(K24-J24)/J24*100</f>
        <v>6.3528024902838505</v>
      </c>
      <c r="AF24" s="150">
        <f t="shared" si="10"/>
        <v>10.067544163491506</v>
      </c>
      <c r="AG24" s="150">
        <f t="shared" si="10"/>
        <v>1.038503296461216</v>
      </c>
      <c r="AH24" s="150">
        <f t="shared" si="10"/>
        <v>-15.800538831700738</v>
      </c>
      <c r="AI24" s="150">
        <f t="shared" si="10"/>
        <v>10.102280503819342</v>
      </c>
      <c r="AJ24" s="150">
        <f t="shared" si="10"/>
        <v>-5.081556888239355</v>
      </c>
      <c r="AK24" s="150">
        <f t="shared" si="10"/>
        <v>4.22978904148379</v>
      </c>
      <c r="AL24" s="150">
        <f t="shared" si="10"/>
        <v>-6.824124698611062</v>
      </c>
      <c r="AM24" s="150">
        <f t="shared" si="10"/>
        <v>-5.516173120728931</v>
      </c>
      <c r="AN24" s="150">
        <f t="shared" si="10"/>
        <v>-2.2951704983798753</v>
      </c>
      <c r="AO24" s="150">
        <f t="shared" si="10"/>
        <v>-7.090686564807136</v>
      </c>
      <c r="AP24" s="150">
        <f t="shared" si="10"/>
        <v>-2.3668890494199726</v>
      </c>
      <c r="AQ24" s="150">
        <f t="shared" si="10"/>
        <v>-3.28603760445682</v>
      </c>
      <c r="AR24" s="150">
        <f t="shared" si="10"/>
        <v>7.128392061563384</v>
      </c>
      <c r="AS24" s="150">
        <f t="shared" si="10"/>
        <v>-11.182524679689138</v>
      </c>
      <c r="AT24" s="150">
        <f t="shared" si="10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1" ref="B25:W35">B9+B24</f>
        <v>108.69300000000001</v>
      </c>
      <c r="C25" s="147">
        <f t="shared" si="11"/>
        <v>44.275999999999996</v>
      </c>
      <c r="D25" s="147">
        <f t="shared" si="11"/>
        <v>115</v>
      </c>
      <c r="E25" s="147">
        <f t="shared" si="11"/>
        <v>136.60000000000002</v>
      </c>
      <c r="F25" s="147">
        <f t="shared" si="11"/>
        <v>117</v>
      </c>
      <c r="G25" s="147">
        <f t="shared" si="11"/>
        <v>117</v>
      </c>
      <c r="H25" s="147">
        <f t="shared" si="11"/>
        <v>152.3</v>
      </c>
      <c r="I25" s="147">
        <f t="shared" si="11"/>
        <v>135.579</v>
      </c>
      <c r="J25" s="147">
        <f t="shared" si="11"/>
        <v>125.925</v>
      </c>
      <c r="K25" s="147">
        <f t="shared" si="11"/>
        <v>131.781</v>
      </c>
      <c r="L25" s="147">
        <f t="shared" si="11"/>
        <v>150.796</v>
      </c>
      <c r="M25" s="147">
        <f t="shared" si="11"/>
        <v>147.781</v>
      </c>
      <c r="N25" s="148">
        <f t="shared" si="11"/>
        <v>126.017</v>
      </c>
      <c r="O25" s="148">
        <f t="shared" si="11"/>
        <v>137.501</v>
      </c>
      <c r="P25" s="148">
        <f t="shared" si="11"/>
        <v>132.209</v>
      </c>
      <c r="Q25" s="148">
        <f t="shared" si="11"/>
        <v>131.494</v>
      </c>
      <c r="R25" s="148">
        <f t="shared" si="11"/>
        <v>121.026</v>
      </c>
      <c r="S25" s="148">
        <f t="shared" si="11"/>
        <v>114.946</v>
      </c>
      <c r="T25" s="148">
        <f t="shared" si="11"/>
        <v>120.798</v>
      </c>
      <c r="U25" s="148">
        <f t="shared" si="11"/>
        <v>103.69200000000001</v>
      </c>
      <c r="V25" s="148">
        <f t="shared" si="11"/>
        <v>101.202</v>
      </c>
      <c r="W25" s="148">
        <f t="shared" si="11"/>
        <v>106.73599999999999</v>
      </c>
      <c r="X25" s="148">
        <f aca="true" t="shared" si="12" ref="X25:AD25">X9+X24</f>
        <v>103.03</v>
      </c>
      <c r="Y25" s="148">
        <f t="shared" si="12"/>
        <v>84.613</v>
      </c>
      <c r="Z25" s="148">
        <f t="shared" si="12"/>
        <v>85.90199999999999</v>
      </c>
      <c r="AA25" s="148">
        <f t="shared" si="12"/>
        <v>92.50800000000001</v>
      </c>
      <c r="AB25" s="148">
        <f t="shared" si="12"/>
        <v>114.595</v>
      </c>
      <c r="AC25" s="148">
        <f t="shared" si="12"/>
        <v>144.82</v>
      </c>
      <c r="AD25" s="148">
        <f t="shared" si="12"/>
        <v>177.348</v>
      </c>
      <c r="AE25" s="150">
        <f t="shared" si="10"/>
        <v>4.65038713519953</v>
      </c>
      <c r="AF25" s="150">
        <f t="shared" si="10"/>
        <v>14.429242455285651</v>
      </c>
      <c r="AG25" s="150">
        <f t="shared" si="10"/>
        <v>-1.9993899042414827</v>
      </c>
      <c r="AH25" s="150">
        <f t="shared" si="10"/>
        <v>-14.727197677644629</v>
      </c>
      <c r="AI25" s="150">
        <f t="shared" si="10"/>
        <v>9.113056174960528</v>
      </c>
      <c r="AJ25" s="150">
        <f t="shared" si="10"/>
        <v>-3.8486992821870394</v>
      </c>
      <c r="AK25" s="150">
        <f t="shared" si="10"/>
        <v>-0.540810383559367</v>
      </c>
      <c r="AL25" s="150">
        <f t="shared" si="10"/>
        <v>-7.960819505072478</v>
      </c>
      <c r="AM25" s="150">
        <f t="shared" si="10"/>
        <v>-5.02371391271297</v>
      </c>
      <c r="AN25" s="150">
        <f t="shared" si="10"/>
        <v>5.0910862491952775</v>
      </c>
      <c r="AO25" s="150">
        <f t="shared" si="10"/>
        <v>-14.160830477325778</v>
      </c>
      <c r="AP25" s="150">
        <f t="shared" si="10"/>
        <v>-2.401342437217923</v>
      </c>
      <c r="AQ25" s="150">
        <f t="shared" si="10"/>
        <v>5.4682713780359995</v>
      </c>
      <c r="AR25" s="150">
        <f t="shared" si="10"/>
        <v>-3.4721181232198974</v>
      </c>
      <c r="AS25" s="150">
        <f t="shared" si="10"/>
        <v>-17.875376104047366</v>
      </c>
      <c r="AT25" s="150">
        <f aca="true" t="shared" si="13" ref="AT25:AT34">(Z25-Y25)/Y25*100</f>
        <v>1.5234065687305582</v>
      </c>
      <c r="AU25" s="150">
        <f aca="true" t="shared" si="14" ref="AU25:AU34">(AA25-Z25)/Z25*100</f>
        <v>7.690158552769463</v>
      </c>
      <c r="AV25" s="150">
        <f aca="true" t="shared" si="15" ref="AV25:AV34">(AB25-AA25)/AA25*100</f>
        <v>23.875772906127025</v>
      </c>
      <c r="AW25" s="150">
        <f aca="true" t="shared" si="16" ref="AW25:AW35">(AC25-AB25)/AB25*100</f>
        <v>26.37549631310266</v>
      </c>
      <c r="AX25" s="150">
        <f aca="true" t="shared" si="17" ref="AX25:AX34"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1"/>
        <v>89.091</v>
      </c>
      <c r="D26" s="147">
        <f t="shared" si="11"/>
        <v>222</v>
      </c>
      <c r="E26" s="147">
        <f t="shared" si="11"/>
        <v>256.20000000000005</v>
      </c>
      <c r="F26" s="147">
        <f t="shared" si="11"/>
        <v>235</v>
      </c>
      <c r="G26" s="147">
        <f t="shared" si="11"/>
        <v>229</v>
      </c>
      <c r="H26" s="147">
        <f t="shared" si="11"/>
        <v>286</v>
      </c>
      <c r="I26" s="147">
        <f t="shared" si="11"/>
        <v>269.579</v>
      </c>
      <c r="J26" s="147">
        <f t="shared" si="11"/>
        <v>227.5</v>
      </c>
      <c r="K26" s="147">
        <f t="shared" si="11"/>
        <v>258.275</v>
      </c>
      <c r="L26" s="147">
        <f t="shared" si="11"/>
        <v>286.283</v>
      </c>
      <c r="M26" s="147">
        <f t="shared" si="11"/>
        <v>285.358</v>
      </c>
      <c r="N26" s="148">
        <f t="shared" si="11"/>
        <v>264.642</v>
      </c>
      <c r="O26" s="148">
        <f t="shared" si="11"/>
        <v>229.135</v>
      </c>
      <c r="P26" s="148">
        <f t="shared" si="11"/>
        <v>244.154</v>
      </c>
      <c r="Q26" s="148">
        <f t="shared" si="11"/>
        <v>268.56899999999996</v>
      </c>
      <c r="R26" s="148">
        <f t="shared" si="11"/>
        <v>228.09699999999998</v>
      </c>
      <c r="S26" s="148">
        <f t="shared" si="11"/>
        <v>219.262</v>
      </c>
      <c r="T26" s="148">
        <f t="shared" si="11"/>
        <v>228.962</v>
      </c>
      <c r="U26" s="148">
        <f t="shared" si="11"/>
        <v>194.126</v>
      </c>
      <c r="V26" s="148">
        <f t="shared" si="11"/>
        <v>205.005</v>
      </c>
      <c r="W26" s="148">
        <f>W10+W25</f>
        <v>205.7</v>
      </c>
      <c r="X26" s="148">
        <f>X10+X25</f>
        <v>197.32999999999998</v>
      </c>
      <c r="Y26" s="148">
        <f aca="true" t="shared" si="18" ref="Y26:AD28">Y10+Y25</f>
        <v>177.233</v>
      </c>
      <c r="Z26" s="148">
        <f t="shared" si="18"/>
        <v>163.435</v>
      </c>
      <c r="AA26" s="148">
        <f t="shared" si="18"/>
        <v>189.98700000000002</v>
      </c>
      <c r="AB26" s="148">
        <f t="shared" si="18"/>
        <v>251.608</v>
      </c>
      <c r="AC26" s="148">
        <f t="shared" si="18"/>
        <v>285.693</v>
      </c>
      <c r="AD26" s="148">
        <f t="shared" si="18"/>
        <v>369.438</v>
      </c>
      <c r="AE26" s="150">
        <f t="shared" si="10"/>
        <v>13.527472527472517</v>
      </c>
      <c r="AF26" s="150">
        <f t="shared" si="10"/>
        <v>10.844255154389716</v>
      </c>
      <c r="AG26" s="150">
        <f t="shared" si="10"/>
        <v>-0.32310685580352705</v>
      </c>
      <c r="AH26" s="150">
        <f t="shared" si="10"/>
        <v>-7.2596527870254235</v>
      </c>
      <c r="AI26" s="150">
        <f t="shared" si="10"/>
        <v>-13.416993523325853</v>
      </c>
      <c r="AJ26" s="150">
        <f t="shared" si="10"/>
        <v>6.554651188164186</v>
      </c>
      <c r="AK26" s="150">
        <f t="shared" si="10"/>
        <v>9.999836168975303</v>
      </c>
      <c r="AL26" s="150">
        <f t="shared" si="10"/>
        <v>-15.069497968864606</v>
      </c>
      <c r="AM26" s="150">
        <f t="shared" si="10"/>
        <v>-3.873352126507574</v>
      </c>
      <c r="AN26" s="150">
        <f t="shared" si="10"/>
        <v>4.423931187346639</v>
      </c>
      <c r="AO26" s="150">
        <f t="shared" si="10"/>
        <v>-15.21475179287392</v>
      </c>
      <c r="AP26" s="150">
        <f t="shared" si="10"/>
        <v>5.6040921875482885</v>
      </c>
      <c r="AQ26" s="150">
        <f t="shared" si="10"/>
        <v>0.3390161215580075</v>
      </c>
      <c r="AR26" s="150">
        <f t="shared" si="10"/>
        <v>-4.06903257170637</v>
      </c>
      <c r="AS26" s="150">
        <f t="shared" si="10"/>
        <v>-10.184462575381332</v>
      </c>
      <c r="AT26" s="150">
        <f t="shared" si="13"/>
        <v>-7.78523186991136</v>
      </c>
      <c r="AU26" s="150">
        <f t="shared" si="14"/>
        <v>16.246214091228943</v>
      </c>
      <c r="AV26" s="150">
        <f t="shared" si="15"/>
        <v>32.4343244537784</v>
      </c>
      <c r="AW26" s="150">
        <f t="shared" si="16"/>
        <v>13.54686655432259</v>
      </c>
      <c r="AX26" s="150">
        <f t="shared" si="17"/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1"/>
        <v>170.25900000000001</v>
      </c>
      <c r="D27" s="147">
        <f t="shared" si="11"/>
        <v>409.1</v>
      </c>
      <c r="E27" s="147">
        <f t="shared" si="11"/>
        <v>428.70000000000005</v>
      </c>
      <c r="F27" s="147">
        <f t="shared" si="11"/>
        <v>395</v>
      </c>
      <c r="G27" s="147">
        <f t="shared" si="11"/>
        <v>429</v>
      </c>
      <c r="H27" s="147">
        <f t="shared" si="11"/>
        <v>466.7</v>
      </c>
      <c r="I27" s="147">
        <f t="shared" si="11"/>
        <v>430.935</v>
      </c>
      <c r="J27" s="147">
        <f t="shared" si="11"/>
        <v>406.952</v>
      </c>
      <c r="K27" s="147">
        <f t="shared" si="11"/>
        <v>438.351</v>
      </c>
      <c r="L27" s="147">
        <f t="shared" si="11"/>
        <v>508.068</v>
      </c>
      <c r="M27" s="147">
        <f t="shared" si="11"/>
        <v>522.586</v>
      </c>
      <c r="N27" s="148">
        <f t="shared" si="11"/>
        <v>445.123</v>
      </c>
      <c r="O27" s="148">
        <f t="shared" si="11"/>
        <v>399.02599999999995</v>
      </c>
      <c r="P27" s="148">
        <f t="shared" si="11"/>
        <v>435.405</v>
      </c>
      <c r="Q27" s="148">
        <f t="shared" si="11"/>
        <v>452.13</v>
      </c>
      <c r="R27" s="148">
        <f>R11+R26</f>
        <v>434.645</v>
      </c>
      <c r="S27" s="148">
        <f t="shared" si="11"/>
        <v>408.572</v>
      </c>
      <c r="T27" s="148">
        <f t="shared" si="11"/>
        <v>411.053</v>
      </c>
      <c r="U27" s="148">
        <f t="shared" si="11"/>
        <v>375.521</v>
      </c>
      <c r="V27" s="148">
        <f t="shared" si="11"/>
        <v>344.663</v>
      </c>
      <c r="W27" s="148">
        <f t="shared" si="11"/>
        <v>405.462</v>
      </c>
      <c r="X27" s="148">
        <f aca="true" t="shared" si="19" ref="X27:X35">X11+X26</f>
        <v>386.97799999999995</v>
      </c>
      <c r="Y27" s="148">
        <f t="shared" si="18"/>
        <v>339.672</v>
      </c>
      <c r="Z27" s="148">
        <f t="shared" si="18"/>
        <v>344.433</v>
      </c>
      <c r="AA27" s="148">
        <f t="shared" si="18"/>
        <v>391.482</v>
      </c>
      <c r="AB27" s="148">
        <f t="shared" si="18"/>
        <v>477.183</v>
      </c>
      <c r="AC27" s="148">
        <f t="shared" si="18"/>
        <v>572.024</v>
      </c>
      <c r="AD27" s="148">
        <f t="shared" si="18"/>
        <v>683.5809999999999</v>
      </c>
      <c r="AE27" s="150">
        <f t="shared" si="10"/>
        <v>7.715651968782559</v>
      </c>
      <c r="AF27" s="150">
        <f t="shared" si="10"/>
        <v>15.90437799845329</v>
      </c>
      <c r="AG27" s="150">
        <f t="shared" si="10"/>
        <v>2.8574915168835724</v>
      </c>
      <c r="AH27" s="150">
        <f t="shared" si="10"/>
        <v>-14.823014776515256</v>
      </c>
      <c r="AI27" s="150">
        <f t="shared" si="10"/>
        <v>-10.356013955693154</v>
      </c>
      <c r="AJ27" s="150">
        <f t="shared" si="10"/>
        <v>9.116949772696522</v>
      </c>
      <c r="AK27" s="150">
        <f t="shared" si="10"/>
        <v>3.841251248837295</v>
      </c>
      <c r="AL27" s="150">
        <f t="shared" si="10"/>
        <v>-3.8672505695264667</v>
      </c>
      <c r="AM27" s="150">
        <f t="shared" si="10"/>
        <v>-5.998688584937128</v>
      </c>
      <c r="AN27" s="150">
        <f t="shared" si="10"/>
        <v>0.6072369129553652</v>
      </c>
      <c r="AO27" s="150">
        <f t="shared" si="10"/>
        <v>-8.644140779899425</v>
      </c>
      <c r="AP27" s="150">
        <f t="shared" si="10"/>
        <v>-8.217383315447073</v>
      </c>
      <c r="AQ27" s="150">
        <f t="shared" si="10"/>
        <v>17.640129633874242</v>
      </c>
      <c r="AR27" s="150">
        <f t="shared" si="10"/>
        <v>-4.558750265129664</v>
      </c>
      <c r="AS27" s="150">
        <f t="shared" si="10"/>
        <v>-12.224467540790416</v>
      </c>
      <c r="AT27" s="150">
        <f t="shared" si="13"/>
        <v>1.4016462940719185</v>
      </c>
      <c r="AU27" s="150">
        <f t="shared" si="14"/>
        <v>13.659840956005967</v>
      </c>
      <c r="AV27" s="150">
        <f t="shared" si="15"/>
        <v>21.891427958373555</v>
      </c>
      <c r="AW27" s="150">
        <f t="shared" si="16"/>
        <v>19.87518415366851</v>
      </c>
      <c r="AX27" s="150">
        <f t="shared" si="17"/>
        <v>19.502153755786452</v>
      </c>
      <c r="AY27" s="106"/>
    </row>
    <row r="28" spans="1:51" s="118" customFormat="1" ht="15.75">
      <c r="A28" s="146" t="s">
        <v>43</v>
      </c>
      <c r="B28" s="147">
        <f t="shared" si="11"/>
        <v>558.546</v>
      </c>
      <c r="C28" s="147">
        <f t="shared" si="11"/>
        <v>295.012</v>
      </c>
      <c r="D28" s="147">
        <f t="shared" si="11"/>
        <v>639.4000000000001</v>
      </c>
      <c r="E28" s="147">
        <f t="shared" si="11"/>
        <v>615.2</v>
      </c>
      <c r="F28" s="147">
        <f t="shared" si="11"/>
        <v>631</v>
      </c>
      <c r="G28" s="147">
        <f t="shared" si="11"/>
        <v>669</v>
      </c>
      <c r="H28" s="147">
        <f t="shared" si="11"/>
        <v>669.5</v>
      </c>
      <c r="I28" s="147">
        <f t="shared" si="11"/>
        <v>637.28</v>
      </c>
      <c r="J28" s="147">
        <f t="shared" si="11"/>
        <v>649.785</v>
      </c>
      <c r="K28" s="147">
        <f t="shared" si="11"/>
        <v>711.668</v>
      </c>
      <c r="L28" s="147">
        <f t="shared" si="11"/>
        <v>807.423</v>
      </c>
      <c r="M28" s="147">
        <f t="shared" si="11"/>
        <v>847.4870000000001</v>
      </c>
      <c r="N28" s="148">
        <f t="shared" si="11"/>
        <v>724.193</v>
      </c>
      <c r="O28" s="148">
        <f t="shared" si="11"/>
        <v>630.5529999999999</v>
      </c>
      <c r="P28" s="148">
        <f t="shared" si="11"/>
        <v>697.0509999999999</v>
      </c>
      <c r="Q28" s="148">
        <f t="shared" si="11"/>
        <v>736.262</v>
      </c>
      <c r="R28" s="148">
        <f>R12+R27</f>
        <v>718.1579999999999</v>
      </c>
      <c r="S28" s="148">
        <f t="shared" si="11"/>
        <v>681.63</v>
      </c>
      <c r="T28" s="148">
        <f t="shared" si="11"/>
        <v>682.6120000000001</v>
      </c>
      <c r="U28" s="148">
        <f t="shared" si="11"/>
        <v>622.067</v>
      </c>
      <c r="V28" s="148">
        <f t="shared" si="11"/>
        <v>602.677</v>
      </c>
      <c r="W28" s="148">
        <f t="shared" si="11"/>
        <v>672.9490000000001</v>
      </c>
      <c r="X28" s="148">
        <f t="shared" si="19"/>
        <v>663.759</v>
      </c>
      <c r="Y28" s="148">
        <f t="shared" si="18"/>
        <v>615.916</v>
      </c>
      <c r="Z28" s="148">
        <f t="shared" si="18"/>
        <v>637.614</v>
      </c>
      <c r="AA28" s="148">
        <f t="shared" si="18"/>
        <v>698.931</v>
      </c>
      <c r="AB28" s="148">
        <f t="shared" si="18"/>
        <v>842.126</v>
      </c>
      <c r="AC28" s="148">
        <f t="shared" si="18"/>
        <v>990.7560000000001</v>
      </c>
      <c r="AD28" s="148">
        <f t="shared" si="18"/>
        <v>1134.076</v>
      </c>
      <c r="AE28" s="150">
        <f t="shared" si="10"/>
        <v>9.5236116561632</v>
      </c>
      <c r="AF28" s="150">
        <f t="shared" si="10"/>
        <v>13.45500992035612</v>
      </c>
      <c r="AG28" s="150">
        <f t="shared" si="10"/>
        <v>4.961959220879277</v>
      </c>
      <c r="AH28" s="150">
        <f t="shared" si="10"/>
        <v>-14.548187759812256</v>
      </c>
      <c r="AI28" s="150">
        <f t="shared" si="10"/>
        <v>-12.9302547801484</v>
      </c>
      <c r="AJ28" s="150">
        <f t="shared" si="10"/>
        <v>10.545981067412265</v>
      </c>
      <c r="AK28" s="150">
        <f t="shared" si="10"/>
        <v>5.625269886995358</v>
      </c>
      <c r="AL28" s="150">
        <f t="shared" si="10"/>
        <v>-2.4589072911545133</v>
      </c>
      <c r="AM28" s="150">
        <f t="shared" si="10"/>
        <v>-5.086345901598243</v>
      </c>
      <c r="AN28" s="150">
        <f t="shared" si="10"/>
        <v>0.14406642900108335</v>
      </c>
      <c r="AO28" s="150">
        <f t="shared" si="10"/>
        <v>-8.869606745852705</v>
      </c>
      <c r="AP28" s="150">
        <f t="shared" si="10"/>
        <v>-3.117027587060556</v>
      </c>
      <c r="AQ28" s="150">
        <f t="shared" si="10"/>
        <v>11.659977068977254</v>
      </c>
      <c r="AR28" s="150">
        <f t="shared" si="10"/>
        <v>-1.365630976493026</v>
      </c>
      <c r="AS28" s="150">
        <f t="shared" si="10"/>
        <v>-7.207887200022895</v>
      </c>
      <c r="AT28" s="150">
        <f t="shared" si="13"/>
        <v>3.522882990537667</v>
      </c>
      <c r="AU28" s="150">
        <f t="shared" si="14"/>
        <v>9.616633260875702</v>
      </c>
      <c r="AV28" s="150">
        <f t="shared" si="15"/>
        <v>20.48771624094509</v>
      </c>
      <c r="AW28" s="150">
        <f t="shared" si="16"/>
        <v>17.649377884069615</v>
      </c>
      <c r="AX28" s="150">
        <f t="shared" si="17"/>
        <v>14.465721126089564</v>
      </c>
      <c r="AY28" s="106"/>
    </row>
    <row r="29" spans="1:51" s="118" customFormat="1" ht="15.75">
      <c r="A29" s="146" t="s">
        <v>44</v>
      </c>
      <c r="B29" s="147">
        <f t="shared" si="11"/>
        <v>715.796</v>
      </c>
      <c r="C29" s="147">
        <f t="shared" si="11"/>
        <v>440.22900000000004</v>
      </c>
      <c r="D29" s="147">
        <f t="shared" si="11"/>
        <v>856.4000000000001</v>
      </c>
      <c r="E29" s="147">
        <f t="shared" si="11"/>
        <v>787.4000000000001</v>
      </c>
      <c r="F29" s="147">
        <f t="shared" si="11"/>
        <v>854</v>
      </c>
      <c r="G29" s="147">
        <f t="shared" si="11"/>
        <v>891</v>
      </c>
      <c r="H29" s="147">
        <f t="shared" si="11"/>
        <v>864.5</v>
      </c>
      <c r="I29" s="147">
        <f t="shared" si="11"/>
        <v>856.74</v>
      </c>
      <c r="J29" s="147">
        <f t="shared" si="11"/>
        <v>898.211</v>
      </c>
      <c r="K29" s="147">
        <f t="shared" si="11"/>
        <v>988.547</v>
      </c>
      <c r="L29" s="147">
        <f t="shared" si="11"/>
        <v>1109.434</v>
      </c>
      <c r="M29" s="147">
        <f t="shared" si="11"/>
        <v>1170.3220000000001</v>
      </c>
      <c r="N29" s="148">
        <f t="shared" si="11"/>
        <v>1017.385</v>
      </c>
      <c r="O29" s="148">
        <f t="shared" si="11"/>
        <v>892.6529999999999</v>
      </c>
      <c r="P29" s="148">
        <f t="shared" si="11"/>
        <v>961.8499999999999</v>
      </c>
      <c r="Q29" s="148">
        <f t="shared" si="11"/>
        <v>1018.914</v>
      </c>
      <c r="R29" s="148">
        <f>R13+R28</f>
        <v>998.3219999999999</v>
      </c>
      <c r="S29" s="148">
        <f t="shared" si="11"/>
        <v>964.095</v>
      </c>
      <c r="T29" s="148">
        <f t="shared" si="11"/>
        <v>989.8490000000002</v>
      </c>
      <c r="U29" s="148">
        <f t="shared" si="11"/>
        <v>882.998</v>
      </c>
      <c r="V29" s="148">
        <f t="shared" si="11"/>
        <v>877.957</v>
      </c>
      <c r="W29" s="148">
        <f t="shared" si="11"/>
        <v>973.7660000000001</v>
      </c>
      <c r="X29" s="148">
        <f t="shared" si="19"/>
        <v>993.736</v>
      </c>
      <c r="Y29" s="148">
        <f aca="true" t="shared" si="20" ref="Y29:AD35">Y13+Y28</f>
        <v>924.135</v>
      </c>
      <c r="Z29" s="148">
        <f t="shared" si="20"/>
        <v>979.835</v>
      </c>
      <c r="AA29" s="148">
        <f t="shared" si="20"/>
        <v>1035.8980000000001</v>
      </c>
      <c r="AB29" s="148">
        <f t="shared" si="20"/>
        <v>1255.24</v>
      </c>
      <c r="AC29" s="148">
        <f t="shared" si="20"/>
        <v>1463.2060000000001</v>
      </c>
      <c r="AD29" s="148">
        <f t="shared" si="20"/>
        <v>1645.149</v>
      </c>
      <c r="AE29" s="150">
        <f t="shared" si="10"/>
        <v>10.05732506059267</v>
      </c>
      <c r="AF29" s="150">
        <f t="shared" si="10"/>
        <v>12.228755941801445</v>
      </c>
      <c r="AG29" s="150">
        <f t="shared" si="10"/>
        <v>5.488203894959065</v>
      </c>
      <c r="AH29" s="150">
        <f t="shared" si="10"/>
        <v>-13.067941985197246</v>
      </c>
      <c r="AI29" s="150">
        <f t="shared" si="10"/>
        <v>-12.260058876433218</v>
      </c>
      <c r="AJ29" s="150">
        <f t="shared" si="10"/>
        <v>7.751836379869895</v>
      </c>
      <c r="AK29" s="150">
        <f t="shared" si="10"/>
        <v>5.932733794250671</v>
      </c>
      <c r="AL29" s="150">
        <f t="shared" si="10"/>
        <v>-2.0209752736737445</v>
      </c>
      <c r="AM29" s="150">
        <f t="shared" si="10"/>
        <v>-3.4284529440400857</v>
      </c>
      <c r="AN29" s="150">
        <f t="shared" si="10"/>
        <v>2.6713135116352777</v>
      </c>
      <c r="AO29" s="150">
        <f t="shared" si="10"/>
        <v>-10.794676763829644</v>
      </c>
      <c r="AP29" s="150">
        <f t="shared" si="10"/>
        <v>-0.5708959703193046</v>
      </c>
      <c r="AQ29" s="150">
        <f t="shared" si="10"/>
        <v>10.912721238056088</v>
      </c>
      <c r="AR29" s="150">
        <f t="shared" si="10"/>
        <v>2.0508007057136837</v>
      </c>
      <c r="AS29" s="150">
        <f t="shared" si="10"/>
        <v>-7.003972886158899</v>
      </c>
      <c r="AT29" s="150">
        <f t="shared" si="13"/>
        <v>6.027257922273266</v>
      </c>
      <c r="AU29" s="150">
        <f t="shared" si="14"/>
        <v>5.721677629396797</v>
      </c>
      <c r="AV29" s="150">
        <f t="shared" si="15"/>
        <v>21.17409242994965</v>
      </c>
      <c r="AW29" s="150">
        <f t="shared" si="16"/>
        <v>16.567827666422367</v>
      </c>
      <c r="AX29" s="150">
        <f t="shared" si="17"/>
        <v>12.434544418215873</v>
      </c>
      <c r="AY29" s="106"/>
    </row>
    <row r="30" spans="1:51" s="118" customFormat="1" ht="15.75">
      <c r="A30" s="146" t="s">
        <v>45</v>
      </c>
      <c r="B30" s="147">
        <f t="shared" si="11"/>
        <v>920.133</v>
      </c>
      <c r="C30" s="147">
        <f t="shared" si="11"/>
        <v>632.229</v>
      </c>
      <c r="D30" s="147">
        <f t="shared" si="11"/>
        <v>1109.5</v>
      </c>
      <c r="E30" s="147">
        <f t="shared" si="11"/>
        <v>1011.9000000000001</v>
      </c>
      <c r="F30" s="147">
        <f t="shared" si="11"/>
        <v>1131</v>
      </c>
      <c r="G30" s="147">
        <f t="shared" si="11"/>
        <v>1169</v>
      </c>
      <c r="H30" s="147">
        <f t="shared" si="11"/>
        <v>1108.9</v>
      </c>
      <c r="I30" s="147">
        <f t="shared" si="11"/>
        <v>1132.275</v>
      </c>
      <c r="J30" s="147">
        <f t="shared" si="11"/>
        <v>1208.194</v>
      </c>
      <c r="K30" s="147">
        <f t="shared" si="11"/>
        <v>1310.588</v>
      </c>
      <c r="L30" s="147">
        <f t="shared" si="11"/>
        <v>1471.733</v>
      </c>
      <c r="M30" s="147">
        <f t="shared" si="11"/>
        <v>1543.707</v>
      </c>
      <c r="N30" s="148">
        <f t="shared" si="11"/>
        <v>1344.789</v>
      </c>
      <c r="O30" s="148">
        <f t="shared" si="11"/>
        <v>1210.7959999999998</v>
      </c>
      <c r="P30" s="148">
        <f t="shared" si="11"/>
        <v>1267.828</v>
      </c>
      <c r="Q30" s="148">
        <f t="shared" si="11"/>
        <v>1357.886</v>
      </c>
      <c r="R30" s="148">
        <f>R14+R29</f>
        <v>1339.7649999999999</v>
      </c>
      <c r="S30" s="148">
        <f t="shared" si="11"/>
        <v>1316.518</v>
      </c>
      <c r="T30" s="148">
        <f t="shared" si="11"/>
        <v>1332.4030000000002</v>
      </c>
      <c r="U30" s="148">
        <f t="shared" si="11"/>
        <v>1187.124</v>
      </c>
      <c r="V30" s="148">
        <f t="shared" si="11"/>
        <v>1184.063</v>
      </c>
      <c r="W30" s="148">
        <f t="shared" si="11"/>
        <v>1332.8700000000001</v>
      </c>
      <c r="X30" s="148">
        <f t="shared" si="19"/>
        <v>1365.1889999999999</v>
      </c>
      <c r="Y30" s="148">
        <f t="shared" si="20"/>
        <v>1285.577</v>
      </c>
      <c r="Z30" s="148">
        <f t="shared" si="20"/>
        <v>1361.79</v>
      </c>
      <c r="AA30" s="148">
        <f t="shared" si="20"/>
        <v>1450.4250000000002</v>
      </c>
      <c r="AB30" s="148">
        <f t="shared" si="20"/>
        <v>1737.372</v>
      </c>
      <c r="AC30" s="148">
        <f t="shared" si="20"/>
        <v>1994.236</v>
      </c>
      <c r="AD30" s="148">
        <f t="shared" si="20"/>
        <v>2184.7749999999996</v>
      </c>
      <c r="AE30" s="150">
        <f t="shared" si="10"/>
        <v>8.47496345785528</v>
      </c>
      <c r="AF30" s="150">
        <f t="shared" si="10"/>
        <v>12.29562608539068</v>
      </c>
      <c r="AG30" s="150">
        <f t="shared" si="10"/>
        <v>4.890425097487123</v>
      </c>
      <c r="AH30" s="150">
        <f t="shared" si="10"/>
        <v>-12.885735440728071</v>
      </c>
      <c r="AI30" s="150">
        <f t="shared" si="10"/>
        <v>-9.963867937646736</v>
      </c>
      <c r="AJ30" s="150">
        <f t="shared" si="10"/>
        <v>4.710289759794397</v>
      </c>
      <c r="AK30" s="150">
        <f t="shared" si="10"/>
        <v>7.1033294737140995</v>
      </c>
      <c r="AL30" s="150">
        <f t="shared" si="10"/>
        <v>-1.3345008343852205</v>
      </c>
      <c r="AM30" s="150">
        <f t="shared" si="10"/>
        <v>-1.7351550458475813</v>
      </c>
      <c r="AN30" s="150">
        <f t="shared" si="10"/>
        <v>1.206591934177901</v>
      </c>
      <c r="AO30" s="150">
        <f t="shared" si="10"/>
        <v>-10.903532940108976</v>
      </c>
      <c r="AP30" s="150">
        <f t="shared" si="10"/>
        <v>-0.25785006452568743</v>
      </c>
      <c r="AQ30" s="150">
        <f t="shared" si="10"/>
        <v>12.567490074430163</v>
      </c>
      <c r="AR30" s="150">
        <f t="shared" si="10"/>
        <v>2.4247676067433233</v>
      </c>
      <c r="AS30" s="150">
        <f t="shared" si="10"/>
        <v>-5.8315735037419625</v>
      </c>
      <c r="AT30" s="150">
        <f t="shared" si="13"/>
        <v>5.928310789629868</v>
      </c>
      <c r="AU30" s="150">
        <f t="shared" si="14"/>
        <v>6.508712797127327</v>
      </c>
      <c r="AV30" s="150">
        <f t="shared" si="15"/>
        <v>19.783649619938974</v>
      </c>
      <c r="AW30" s="150">
        <f t="shared" si="16"/>
        <v>14.784628738117112</v>
      </c>
      <c r="AX30" s="150">
        <f t="shared" si="17"/>
        <v>9.554486028734791</v>
      </c>
      <c r="AY30" s="106"/>
    </row>
    <row r="31" spans="1:51" s="118" customFormat="1" ht="15.75">
      <c r="A31" s="146" t="s">
        <v>46</v>
      </c>
      <c r="B31" s="147">
        <f t="shared" si="11"/>
        <v>1118.058</v>
      </c>
      <c r="C31" s="147">
        <f t="shared" si="11"/>
        <v>836.229</v>
      </c>
      <c r="D31" s="147">
        <f t="shared" si="11"/>
        <v>1359.3</v>
      </c>
      <c r="E31" s="147">
        <f t="shared" si="11"/>
        <v>1256.7</v>
      </c>
      <c r="F31" s="147">
        <f t="shared" si="11"/>
        <v>1416</v>
      </c>
      <c r="G31" s="147">
        <f t="shared" si="11"/>
        <v>1432</v>
      </c>
      <c r="H31" s="147">
        <f t="shared" si="11"/>
        <v>1360.9</v>
      </c>
      <c r="I31" s="147">
        <f t="shared" si="11"/>
        <v>1426.162</v>
      </c>
      <c r="J31" s="147">
        <f t="shared" si="11"/>
        <v>1535.048</v>
      </c>
      <c r="K31" s="147">
        <f t="shared" si="11"/>
        <v>1651.676</v>
      </c>
      <c r="L31" s="147">
        <f t="shared" si="11"/>
        <v>1828.4189999999999</v>
      </c>
      <c r="M31" s="147">
        <f t="shared" si="11"/>
        <v>1915.2430000000002</v>
      </c>
      <c r="N31" s="148">
        <f t="shared" si="11"/>
        <v>1646.513</v>
      </c>
      <c r="O31" s="148">
        <f t="shared" si="11"/>
        <v>1536.1859999999997</v>
      </c>
      <c r="P31" s="148">
        <f t="shared" si="11"/>
        <v>1573.754</v>
      </c>
      <c r="Q31" s="148">
        <f t="shared" si="11"/>
        <v>1694.473</v>
      </c>
      <c r="R31" s="148">
        <f>R15+R30</f>
        <v>1654.637</v>
      </c>
      <c r="S31" s="148">
        <f t="shared" si="11"/>
        <v>1657.0520000000001</v>
      </c>
      <c r="T31" s="148">
        <f t="shared" si="11"/>
        <v>1660.5030000000002</v>
      </c>
      <c r="U31" s="148">
        <f t="shared" si="11"/>
        <v>1478.707</v>
      </c>
      <c r="V31" s="148">
        <f t="shared" si="11"/>
        <v>1488.3270000000002</v>
      </c>
      <c r="W31" s="148">
        <f t="shared" si="11"/>
        <v>1669.883</v>
      </c>
      <c r="X31" s="148">
        <f t="shared" si="19"/>
        <v>1728.7619999999997</v>
      </c>
      <c r="Y31" s="148">
        <f t="shared" si="20"/>
        <v>1637.792</v>
      </c>
      <c r="Z31" s="148">
        <f t="shared" si="20"/>
        <v>1734.876</v>
      </c>
      <c r="AA31" s="148">
        <f t="shared" si="20"/>
        <v>1842.6970000000001</v>
      </c>
      <c r="AB31" s="148">
        <f>AB15+AB30</f>
        <v>2196.017</v>
      </c>
      <c r="AC31" s="148">
        <f>AC15+AC30</f>
        <v>2517.887</v>
      </c>
      <c r="AD31" s="148">
        <f>AD15+AD30</f>
        <v>2719.6219999999994</v>
      </c>
      <c r="AE31" s="150">
        <f t="shared" si="10"/>
        <v>7.59767772734142</v>
      </c>
      <c r="AF31" s="150">
        <f t="shared" si="10"/>
        <v>10.70082752307353</v>
      </c>
      <c r="AG31" s="150">
        <f t="shared" si="10"/>
        <v>4.7485833389392855</v>
      </c>
      <c r="AH31" s="150">
        <f t="shared" si="10"/>
        <v>-14.031117722398683</v>
      </c>
      <c r="AI31" s="150">
        <f t="shared" si="10"/>
        <v>-6.700645546072229</v>
      </c>
      <c r="AJ31" s="150">
        <f t="shared" si="10"/>
        <v>2.445537194063754</v>
      </c>
      <c r="AK31" s="150">
        <f t="shared" si="10"/>
        <v>7.670766841577531</v>
      </c>
      <c r="AL31" s="150">
        <f t="shared" si="10"/>
        <v>-2.3509374301036376</v>
      </c>
      <c r="AM31" s="150">
        <f t="shared" si="10"/>
        <v>0.145953462904564</v>
      </c>
      <c r="AN31" s="150">
        <f t="shared" si="10"/>
        <v>0.2082614184708761</v>
      </c>
      <c r="AO31" s="150">
        <f t="shared" si="10"/>
        <v>-10.94824881376306</v>
      </c>
      <c r="AP31" s="150">
        <f t="shared" si="10"/>
        <v>0.6505683681757182</v>
      </c>
      <c r="AQ31" s="150">
        <f t="shared" si="10"/>
        <v>12.198663331378103</v>
      </c>
      <c r="AR31" s="150">
        <f t="shared" si="10"/>
        <v>3.5259356493837997</v>
      </c>
      <c r="AS31" s="150">
        <f t="shared" si="10"/>
        <v>-5.262147131878177</v>
      </c>
      <c r="AT31" s="150">
        <f t="shared" si="13"/>
        <v>5.927736855473715</v>
      </c>
      <c r="AU31" s="150">
        <f t="shared" si="14"/>
        <v>6.214911036869502</v>
      </c>
      <c r="AV31" s="150">
        <f t="shared" si="15"/>
        <v>19.174069312534815</v>
      </c>
      <c r="AW31" s="150">
        <f t="shared" si="16"/>
        <v>14.656990360275005</v>
      </c>
      <c r="AX31" s="150">
        <f t="shared" si="17"/>
        <v>8.012075204328042</v>
      </c>
      <c r="AY31" s="106"/>
    </row>
    <row r="32" spans="1:51" s="118" customFormat="1" ht="15.75">
      <c r="A32" s="146" t="s">
        <v>47</v>
      </c>
      <c r="B32" s="147">
        <f t="shared" si="11"/>
        <v>1293.007</v>
      </c>
      <c r="C32" s="147">
        <f t="shared" si="11"/>
        <v>1026.329</v>
      </c>
      <c r="D32" s="147">
        <f t="shared" si="11"/>
        <v>1603.3</v>
      </c>
      <c r="E32" s="147">
        <f t="shared" si="11"/>
        <v>1479.2</v>
      </c>
      <c r="F32" s="147">
        <f t="shared" si="11"/>
        <v>1663</v>
      </c>
      <c r="G32" s="147">
        <f t="shared" si="11"/>
        <v>1686</v>
      </c>
      <c r="H32" s="147">
        <f t="shared" si="11"/>
        <v>1581.8000000000002</v>
      </c>
      <c r="I32" s="147">
        <f t="shared" si="11"/>
        <v>1668.787</v>
      </c>
      <c r="J32" s="147">
        <f t="shared" si="11"/>
        <v>1805.3310000000001</v>
      </c>
      <c r="K32" s="147">
        <f t="shared" si="11"/>
        <v>1961.174</v>
      </c>
      <c r="L32" s="147">
        <f t="shared" si="11"/>
        <v>2158.383</v>
      </c>
      <c r="M32" s="147">
        <f t="shared" si="11"/>
        <v>2244.643</v>
      </c>
      <c r="N32" s="148">
        <f t="shared" si="11"/>
        <v>1953.244</v>
      </c>
      <c r="O32" s="148">
        <f t="shared" si="11"/>
        <v>1823.5439999999996</v>
      </c>
      <c r="P32" s="148">
        <f t="shared" si="11"/>
        <v>1877.2599999999998</v>
      </c>
      <c r="Q32" s="148">
        <f t="shared" si="11"/>
        <v>1997.306</v>
      </c>
      <c r="R32" s="148">
        <f t="shared" si="11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1"/>
        <v>1777.4530000000002</v>
      </c>
      <c r="W32" s="148">
        <f t="shared" si="11"/>
        <v>1974.143</v>
      </c>
      <c r="X32" s="148">
        <f t="shared" si="19"/>
        <v>2064.1139999999996</v>
      </c>
      <c r="Y32" s="148">
        <f t="shared" si="20"/>
        <v>1995.445</v>
      </c>
      <c r="Z32" s="148">
        <f t="shared" si="20"/>
        <v>2051.478</v>
      </c>
      <c r="AA32" s="148">
        <f t="shared" si="20"/>
        <v>2203.596</v>
      </c>
      <c r="AB32" s="148">
        <f t="shared" si="20"/>
        <v>2617.218</v>
      </c>
      <c r="AC32" s="148">
        <f t="shared" si="20"/>
        <v>3001.603</v>
      </c>
      <c r="AD32" s="148">
        <f t="shared" si="20"/>
        <v>3239.7599999999993</v>
      </c>
      <c r="AE32" s="150">
        <f t="shared" si="10"/>
        <v>8.632378217623241</v>
      </c>
      <c r="AF32" s="150">
        <f t="shared" si="10"/>
        <v>10.055660538024664</v>
      </c>
      <c r="AG32" s="150">
        <f t="shared" si="10"/>
        <v>3.996510350572638</v>
      </c>
      <c r="AH32" s="150">
        <f t="shared" si="10"/>
        <v>-12.981975307431966</v>
      </c>
      <c r="AI32" s="150">
        <f t="shared" si="10"/>
        <v>-6.640235423736117</v>
      </c>
      <c r="AJ32" s="150">
        <f t="shared" si="10"/>
        <v>2.9456925634917575</v>
      </c>
      <c r="AK32" s="150">
        <f t="shared" si="10"/>
        <v>6.394745533383777</v>
      </c>
      <c r="AL32" s="150">
        <f t="shared" si="10"/>
        <v>-2.309961518164977</v>
      </c>
      <c r="AM32" s="150">
        <f t="shared" si="10"/>
        <v>1.0926782867091556</v>
      </c>
      <c r="AN32" s="150">
        <f t="shared" si="10"/>
        <v>-0.33652912639816596</v>
      </c>
      <c r="AO32" s="150">
        <f t="shared" si="10"/>
        <v>-10.73153560468214</v>
      </c>
      <c r="AP32" s="150">
        <f t="shared" si="10"/>
        <v>1.2860101944002018</v>
      </c>
      <c r="AQ32" s="150">
        <f t="shared" si="10"/>
        <v>11.065834089565227</v>
      </c>
      <c r="AR32" s="150">
        <f t="shared" si="10"/>
        <v>4.557471267278994</v>
      </c>
      <c r="AS32" s="150">
        <f t="shared" si="10"/>
        <v>-3.3268026862857214</v>
      </c>
      <c r="AT32" s="150">
        <f t="shared" si="13"/>
        <v>2.8080453232236486</v>
      </c>
      <c r="AU32" s="150">
        <f t="shared" si="14"/>
        <v>7.4150441779049014</v>
      </c>
      <c r="AV32" s="150">
        <f t="shared" si="15"/>
        <v>18.770319060299613</v>
      </c>
      <c r="AW32" s="150">
        <f t="shared" si="16"/>
        <v>14.6867780979651</v>
      </c>
      <c r="AX32" s="150">
        <f t="shared" si="17"/>
        <v>7.9343270912242305</v>
      </c>
      <c r="AY32" s="106"/>
    </row>
    <row r="33" spans="1:51" s="118" customFormat="1" ht="15.75">
      <c r="A33" s="146" t="s">
        <v>48</v>
      </c>
      <c r="B33" s="147">
        <f t="shared" si="11"/>
        <v>1440.135</v>
      </c>
      <c r="C33" s="147">
        <f t="shared" si="11"/>
        <v>1198.629</v>
      </c>
      <c r="D33" s="147">
        <f t="shared" si="11"/>
        <v>1804</v>
      </c>
      <c r="E33" s="147">
        <f t="shared" si="11"/>
        <v>1684.5</v>
      </c>
      <c r="F33" s="147">
        <f t="shared" si="11"/>
        <v>1894</v>
      </c>
      <c r="G33" s="147">
        <f t="shared" si="11"/>
        <v>1917</v>
      </c>
      <c r="H33" s="147">
        <f t="shared" si="11"/>
        <v>1776.3000000000002</v>
      </c>
      <c r="I33" s="147">
        <f t="shared" si="11"/>
        <v>1893.1580000000001</v>
      </c>
      <c r="J33" s="147">
        <f t="shared" si="11"/>
        <v>2034.2120000000002</v>
      </c>
      <c r="K33" s="147">
        <f t="shared" si="11"/>
        <v>2231.906</v>
      </c>
      <c r="L33" s="147">
        <f t="shared" si="11"/>
        <v>2458.9799999999996</v>
      </c>
      <c r="M33" s="147">
        <f t="shared" si="11"/>
        <v>2514.387</v>
      </c>
      <c r="N33" s="148">
        <f t="shared" si="11"/>
        <v>2229.084</v>
      </c>
      <c r="O33" s="148">
        <f t="shared" si="11"/>
        <v>2095.5239999999994</v>
      </c>
      <c r="P33" s="148">
        <f t="shared" si="11"/>
        <v>2156.236</v>
      </c>
      <c r="Q33" s="148">
        <f t="shared" si="11"/>
        <v>2289.579</v>
      </c>
      <c r="R33" s="148">
        <f t="shared" si="11"/>
        <v>2234.2149999999997</v>
      </c>
      <c r="S33" s="148">
        <f>S17+S32</f>
        <v>2247.592</v>
      </c>
      <c r="T33" s="148">
        <f aca="true" t="shared" si="21" ref="T33:U35">T17+T32</f>
        <v>2233.717</v>
      </c>
      <c r="U33" s="148">
        <f t="shared" si="21"/>
        <v>1985.3160000000003</v>
      </c>
      <c r="V33" s="148">
        <f t="shared" si="11"/>
        <v>2019.1510000000003</v>
      </c>
      <c r="W33" s="148">
        <f t="shared" si="11"/>
        <v>2234.006</v>
      </c>
      <c r="X33" s="148">
        <f t="shared" si="19"/>
        <v>2326.1109999999994</v>
      </c>
      <c r="Y33" s="148">
        <f t="shared" si="20"/>
        <v>2269.032</v>
      </c>
      <c r="Z33" s="148">
        <f t="shared" si="20"/>
        <v>2302.931</v>
      </c>
      <c r="AA33" s="148">
        <f t="shared" si="20"/>
        <v>2472.959</v>
      </c>
      <c r="AB33" s="148">
        <f t="shared" si="20"/>
        <v>2974.412</v>
      </c>
      <c r="AC33" s="148">
        <f t="shared" si="20"/>
        <v>3408.473</v>
      </c>
      <c r="AD33" s="148">
        <f t="shared" si="20"/>
        <v>3673.3769999999995</v>
      </c>
      <c r="AE33" s="150">
        <f t="shared" si="10"/>
        <v>9.718456090122354</v>
      </c>
      <c r="AF33" s="150">
        <f t="shared" si="10"/>
        <v>10.17399478293439</v>
      </c>
      <c r="AG33" s="150">
        <f t="shared" si="10"/>
        <v>2.253251348119977</v>
      </c>
      <c r="AH33" s="150">
        <f t="shared" si="10"/>
        <v>-11.346821312709633</v>
      </c>
      <c r="AI33" s="150">
        <f t="shared" si="10"/>
        <v>-5.991698832345501</v>
      </c>
      <c r="AJ33" s="150">
        <f t="shared" si="10"/>
        <v>2.8972228425921376</v>
      </c>
      <c r="AK33" s="150">
        <f t="shared" si="10"/>
        <v>6.184063340005468</v>
      </c>
      <c r="AL33" s="150">
        <f t="shared" si="10"/>
        <v>-2.418086469171864</v>
      </c>
      <c r="AM33" s="150">
        <f t="shared" si="10"/>
        <v>0.5987337834541622</v>
      </c>
      <c r="AN33" s="150">
        <f t="shared" si="10"/>
        <v>-0.6173273441087171</v>
      </c>
      <c r="AO33" s="150">
        <f t="shared" si="10"/>
        <v>-11.12052242965424</v>
      </c>
      <c r="AP33" s="150">
        <f t="shared" si="10"/>
        <v>1.7042626967193146</v>
      </c>
      <c r="AQ33" s="150">
        <f t="shared" si="10"/>
        <v>10.64085845981799</v>
      </c>
      <c r="AR33" s="150">
        <f t="shared" si="10"/>
        <v>4.122862695981997</v>
      </c>
      <c r="AS33" s="150">
        <f t="shared" si="10"/>
        <v>-2.453838187429546</v>
      </c>
      <c r="AT33" s="150">
        <f t="shared" si="13"/>
        <v>1.4939851002542002</v>
      </c>
      <c r="AU33" s="150">
        <f t="shared" si="14"/>
        <v>7.383113085020774</v>
      </c>
      <c r="AV33" s="150">
        <f t="shared" si="15"/>
        <v>20.277448999356643</v>
      </c>
      <c r="AW33" s="150">
        <f t="shared" si="16"/>
        <v>14.593170011417389</v>
      </c>
      <c r="AX33" s="150">
        <f t="shared" si="17"/>
        <v>7.771926020831016</v>
      </c>
      <c r="AY33" s="106"/>
    </row>
    <row r="34" spans="1:51" s="118" customFormat="1" ht="15.75">
      <c r="A34" s="146" t="s">
        <v>49</v>
      </c>
      <c r="B34" s="147">
        <f t="shared" si="11"/>
        <v>1499.658</v>
      </c>
      <c r="C34" s="147">
        <f t="shared" si="11"/>
        <v>1288.9289999999999</v>
      </c>
      <c r="D34" s="147">
        <f t="shared" si="11"/>
        <v>1915.5</v>
      </c>
      <c r="E34" s="147">
        <f t="shared" si="11"/>
        <v>1776</v>
      </c>
      <c r="F34" s="147">
        <f t="shared" si="11"/>
        <v>2000</v>
      </c>
      <c r="G34" s="147">
        <f t="shared" si="11"/>
        <v>2025</v>
      </c>
      <c r="H34" s="147">
        <f t="shared" si="11"/>
        <v>1868.8000000000002</v>
      </c>
      <c r="I34" s="147">
        <f t="shared" si="11"/>
        <v>2004.268</v>
      </c>
      <c r="J34" s="147">
        <f t="shared" si="11"/>
        <v>2139.985</v>
      </c>
      <c r="K34" s="147">
        <f t="shared" si="11"/>
        <v>2350.011</v>
      </c>
      <c r="L34" s="147">
        <f t="shared" si="11"/>
        <v>2592.4799999999996</v>
      </c>
      <c r="M34" s="147">
        <f t="shared" si="11"/>
        <v>2621.8410000000003</v>
      </c>
      <c r="N34" s="148">
        <f t="shared" si="11"/>
        <v>2340.411</v>
      </c>
      <c r="O34" s="148">
        <f t="shared" si="11"/>
        <v>2219.3239999999996</v>
      </c>
      <c r="P34" s="148">
        <f t="shared" si="11"/>
        <v>2270.2839999999997</v>
      </c>
      <c r="Q34" s="148">
        <f t="shared" si="11"/>
        <v>2394.4010000000003</v>
      </c>
      <c r="R34" s="148">
        <f t="shared" si="11"/>
        <v>2329.8969999999995</v>
      </c>
      <c r="S34" s="148">
        <f>S18+S33</f>
        <v>2342.333</v>
      </c>
      <c r="T34" s="148">
        <f t="shared" si="21"/>
        <v>2331.617</v>
      </c>
      <c r="U34" s="148">
        <f t="shared" si="21"/>
        <v>2074.9860000000003</v>
      </c>
      <c r="V34" s="148">
        <f t="shared" si="11"/>
        <v>2111.7940000000003</v>
      </c>
      <c r="W34" s="148">
        <f t="shared" si="11"/>
        <v>2326.884</v>
      </c>
      <c r="X34" s="148">
        <f t="shared" si="19"/>
        <v>2410.1309999999994</v>
      </c>
      <c r="Y34" s="148">
        <f t="shared" si="20"/>
        <v>2350.574</v>
      </c>
      <c r="Z34" s="148">
        <f t="shared" si="20"/>
        <v>2384.368</v>
      </c>
      <c r="AA34" s="148">
        <f t="shared" si="20"/>
        <v>2581.0519999999997</v>
      </c>
      <c r="AB34" s="148">
        <f t="shared" si="20"/>
        <v>3098.604</v>
      </c>
      <c r="AC34" s="148">
        <f t="shared" si="20"/>
        <v>3553.149</v>
      </c>
      <c r="AD34" s="148">
        <f t="shared" si="20"/>
        <v>3832.0619999999994</v>
      </c>
      <c r="AE34" s="150">
        <f t="shared" si="10"/>
        <v>9.814367857718622</v>
      </c>
      <c r="AF34" s="150">
        <f t="shared" si="10"/>
        <v>10.317781491235555</v>
      </c>
      <c r="AG34" s="150">
        <f t="shared" si="10"/>
        <v>1.132544899092791</v>
      </c>
      <c r="AH34" s="150">
        <f t="shared" si="10"/>
        <v>-10.73406053227485</v>
      </c>
      <c r="AI34" s="150">
        <f t="shared" si="10"/>
        <v>-5.173749397007638</v>
      </c>
      <c r="AJ34" s="150">
        <f t="shared" si="10"/>
        <v>2.2961946971239913</v>
      </c>
      <c r="AK34" s="150">
        <f t="shared" si="10"/>
        <v>5.4670252708472</v>
      </c>
      <c r="AL34" s="150">
        <f t="shared" si="10"/>
        <v>-2.6939514308589416</v>
      </c>
      <c r="AM34" s="150">
        <f t="shared" si="10"/>
        <v>0.5337575008680902</v>
      </c>
      <c r="AN34" s="150">
        <f t="shared" si="10"/>
        <v>-0.45749259392237973</v>
      </c>
      <c r="AO34" s="150">
        <f t="shared" si="10"/>
        <v>-11.006567545184302</v>
      </c>
      <c r="AP34" s="150">
        <f t="shared" si="10"/>
        <v>1.7738914864967759</v>
      </c>
      <c r="AQ34" s="150">
        <f t="shared" si="10"/>
        <v>10.18517904681989</v>
      </c>
      <c r="AR34" s="150">
        <f t="shared" si="10"/>
        <v>3.577617105107061</v>
      </c>
      <c r="AS34" s="150">
        <f t="shared" si="10"/>
        <v>-2.4711104915043767</v>
      </c>
      <c r="AT34" s="150">
        <f t="shared" si="13"/>
        <v>1.4376913894223227</v>
      </c>
      <c r="AU34" s="150">
        <f t="shared" si="14"/>
        <v>8.248894465954908</v>
      </c>
      <c r="AV34" s="150">
        <f t="shared" si="15"/>
        <v>20.051978805541314</v>
      </c>
      <c r="AW34" s="150">
        <f t="shared" si="16"/>
        <v>14.669347874074909</v>
      </c>
      <c r="AX34" s="150">
        <f t="shared" si="17"/>
        <v>7.849741173252221</v>
      </c>
      <c r="AY34" s="106"/>
    </row>
    <row r="35" spans="1:51" s="133" customFormat="1" ht="15.75">
      <c r="A35" s="146" t="s">
        <v>50</v>
      </c>
      <c r="B35" s="155">
        <f t="shared" si="11"/>
        <v>1561.4789999999998</v>
      </c>
      <c r="C35" s="155">
        <f t="shared" si="11"/>
        <v>1385.129</v>
      </c>
      <c r="D35" s="155">
        <f t="shared" si="11"/>
        <v>1991</v>
      </c>
      <c r="E35" s="155">
        <f t="shared" si="11"/>
        <v>1841</v>
      </c>
      <c r="F35" s="155">
        <f t="shared" si="11"/>
        <v>2069</v>
      </c>
      <c r="G35" s="155">
        <f t="shared" si="11"/>
        <v>2100</v>
      </c>
      <c r="H35" s="155">
        <f t="shared" si="11"/>
        <v>1950.0000000000002</v>
      </c>
      <c r="I35" s="155">
        <f t="shared" si="11"/>
        <v>2088</v>
      </c>
      <c r="J35" s="155">
        <f t="shared" si="11"/>
        <v>2222.701</v>
      </c>
      <c r="K35" s="155">
        <f t="shared" si="11"/>
        <v>2434.285</v>
      </c>
      <c r="L35" s="155">
        <f t="shared" si="11"/>
        <v>2686.2019999999998</v>
      </c>
      <c r="M35" s="155">
        <f t="shared" si="11"/>
        <v>2696.7280000000005</v>
      </c>
      <c r="N35" s="156">
        <f t="shared" si="11"/>
        <v>2418.233</v>
      </c>
      <c r="O35" s="156">
        <f t="shared" si="11"/>
        <v>2303.2429999999995</v>
      </c>
      <c r="P35" s="156">
        <f t="shared" si="11"/>
        <v>2349.0069999999996</v>
      </c>
      <c r="Q35" s="156">
        <f t="shared" si="11"/>
        <v>2470.0570000000002</v>
      </c>
      <c r="R35" s="156">
        <f t="shared" si="11"/>
        <v>2400.9189999999994</v>
      </c>
      <c r="S35" s="156">
        <f>S19+S34</f>
        <v>2416.0750000000003</v>
      </c>
      <c r="T35" s="156">
        <f t="shared" si="21"/>
        <v>2403.744</v>
      </c>
      <c r="U35" s="156">
        <f t="shared" si="21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9"/>
        <v>2464.9029999999993</v>
      </c>
      <c r="Y35" s="156">
        <f t="shared" si="20"/>
        <v>2405.387</v>
      </c>
      <c r="Z35" s="156">
        <f t="shared" si="20"/>
        <v>2441.2309999999998</v>
      </c>
      <c r="AA35" s="156">
        <f t="shared" si="20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10"/>
        <v>9.519229082094254</v>
      </c>
      <c r="AF35" s="157">
        <f t="shared" si="10"/>
        <v>10.348706088235351</v>
      </c>
      <c r="AG35" s="157">
        <f t="shared" si="10"/>
        <v>0.39185437282828134</v>
      </c>
      <c r="AH35" s="157">
        <f t="shared" si="10"/>
        <v>-10.327144598936203</v>
      </c>
      <c r="AI35" s="157">
        <f t="shared" si="10"/>
        <v>-4.755124919724472</v>
      </c>
      <c r="AJ35" s="157">
        <f t="shared" si="10"/>
        <v>1.9869375484914156</v>
      </c>
      <c r="AK35" s="157">
        <f t="shared" si="10"/>
        <v>5.153241348365529</v>
      </c>
      <c r="AL35" s="157">
        <f t="shared" si="10"/>
        <v>-2.7990447184012686</v>
      </c>
      <c r="AM35" s="157">
        <f t="shared" si="10"/>
        <v>0.631258280683391</v>
      </c>
      <c r="AN35" s="157">
        <f t="shared" si="10"/>
        <v>-0.5103732293078704</v>
      </c>
      <c r="AO35" s="157">
        <f t="shared" si="10"/>
        <v>-10.922835376812163</v>
      </c>
      <c r="AP35" s="157">
        <f t="shared" si="10"/>
        <v>1.485437750182494</v>
      </c>
      <c r="AQ35" s="157">
        <f t="shared" si="10"/>
        <v>10.08884980301361</v>
      </c>
      <c r="AR35" s="157">
        <f t="shared" si="10"/>
        <v>3.0381782969229616</v>
      </c>
      <c r="AS35" s="157">
        <f t="shared" si="10"/>
        <v>-2.41453720491229</v>
      </c>
      <c r="AT35" s="157">
        <f t="shared" si="10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6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4">
      <selection activeCell="A61" sqref="A61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1" width="9.28125" style="191" hidden="1" customWidth="1"/>
    <col min="12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3.710937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J2" s="354"/>
      <c r="K2" s="354"/>
      <c r="L2" s="354"/>
      <c r="M2" s="354"/>
      <c r="N2" s="355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1295.74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183.104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72.302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34.657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41.305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44.9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23.154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19.557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170.563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223.237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773.641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152.829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42.93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54.522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26.371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20.625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67.78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87.697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3832.062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J29" s="354"/>
      <c r="K29" s="354"/>
      <c r="L29" s="354"/>
      <c r="M29" s="354"/>
      <c r="N29" s="355"/>
      <c r="O29" s="350"/>
      <c r="P29" s="350"/>
      <c r="Q29" s="350"/>
      <c r="R29" s="350"/>
      <c r="S29" s="350"/>
      <c r="T29" s="351"/>
      <c r="U29" s="351"/>
      <c r="V29" s="247"/>
      <c r="W29" s="352"/>
      <c r="X29" s="352"/>
      <c r="Y29" s="352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Jan-Nov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5.721099752696787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-0.3385476198251638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27.807533895458803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-1.1071479526323316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11.373257475665326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12.15466853174803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28.01459611875933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180.46751756776138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9.48896206854495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-11.385053866734424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-4.745951363417532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12.458608662379135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23.326630278655557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1.3891213389121333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26.09859895758619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64.8812854744584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46.754427748668434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57.73976545075186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7.849741173252227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7">
      <selection activeCell="B60" sqref="B60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>
        <f t="shared" si="0"/>
        <v>4.241832428359525</v>
      </c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>
        <v>403958</v>
      </c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>
        <f t="shared" si="0"/>
        <v>2.981680611428076</v>
      </c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>
        <v>467876</v>
      </c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>
        <f t="shared" si="0"/>
        <v>4.704679167421948</v>
      </c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>
        <v>531864</v>
      </c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>
        <f t="shared" si="0"/>
        <v>1.6390623118862115</v>
      </c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>
        <v>545580</v>
      </c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>
        <f t="shared" si="0"/>
        <v>2.477699576813195</v>
      </c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>
        <v>488554</v>
      </c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>
        <f t="shared" si="0"/>
        <v>3.9279795953532206</v>
      </c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>
        <v>400794</v>
      </c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>
        <f t="shared" si="0"/>
        <v>0.8949272352412527</v>
      </c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>
        <v>184523</v>
      </c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>
        <f t="shared" si="0"/>
        <v>4.3510962568357</v>
      </c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>
        <v>173602</v>
      </c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>
        <f t="shared" si="0"/>
        <v>4.005607611013923</v>
      </c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S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>
        <f t="shared" si="3"/>
        <v>4037714</v>
      </c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>
        <f>(S19-R19)/R19*100</f>
        <v>4.398330335784119</v>
      </c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>
        <f t="shared" si="4"/>
        <v>12.811991434689507</v>
      </c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>
        <v>159560</v>
      </c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>
        <f t="shared" si="4"/>
        <v>14.70801791504015</v>
      </c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>
        <v>167766</v>
      </c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>
        <f t="shared" si="4"/>
        <v>17.52105019824313</v>
      </c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>
        <v>177170</v>
      </c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>
        <f t="shared" si="4"/>
        <v>9.790482800503188</v>
      </c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>
        <v>181000</v>
      </c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>
        <f t="shared" si="4"/>
        <v>11.54799028731311</v>
      </c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>
        <v>170625</v>
      </c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>
        <f t="shared" si="4"/>
        <v>13.801590054157886</v>
      </c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>
        <v>153381</v>
      </c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>
        <f t="shared" si="4"/>
        <v>13.293299060450275</v>
      </c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>
        <v>71605</v>
      </c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>
        <f t="shared" si="4"/>
        <v>11.096457884039532</v>
      </c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>
        <v>59197</v>
      </c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>
        <f t="shared" si="4"/>
        <v>26.654399965767343</v>
      </c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>
        <f>SUM(S25:S36)</f>
        <v>1433549</v>
      </c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>
        <f>(S37-R37)/R37*100</f>
        <v>13.861837533011656</v>
      </c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>
        <f t="shared" si="9"/>
        <v>6.666230521895679</v>
      </c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>
        <f t="shared" si="8"/>
        <v>563518</v>
      </c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>
        <f t="shared" si="9"/>
        <v>6.051418709996744</v>
      </c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>
        <f>S12+S30</f>
        <v>635642</v>
      </c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>
        <f t="shared" si="9"/>
        <v>7.807743123809588</v>
      </c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>
        <f>S13+S31</f>
        <v>709034</v>
      </c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>
        <f t="shared" si="9"/>
        <v>3.560317706066386</v>
      </c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>
        <f>S14+S32</f>
        <v>726580</v>
      </c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>
        <f t="shared" si="9"/>
        <v>4.596408844153395</v>
      </c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>
        <f t="shared" si="8"/>
        <v>659179</v>
      </c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>
        <f t="shared" si="9"/>
        <v>6.315592536381833</v>
      </c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>
        <f t="shared" si="8"/>
        <v>554175</v>
      </c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>
        <f t="shared" si="9"/>
        <v>4.046389284728598</v>
      </c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 aca="true" t="shared" si="11" ref="Q53:S54">Q17+Q35</f>
        <v>218586</v>
      </c>
      <c r="R53" s="230">
        <f t="shared" si="11"/>
        <v>241282</v>
      </c>
      <c r="S53" s="230">
        <f t="shared" si="11"/>
        <v>256128</v>
      </c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>
        <f t="shared" si="9"/>
        <v>6.152966238675077</v>
      </c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 t="shared" si="11"/>
        <v>196087</v>
      </c>
      <c r="R54" s="345">
        <f t="shared" si="11"/>
        <v>213655</v>
      </c>
      <c r="S54" s="345">
        <f t="shared" si="11"/>
        <v>232799</v>
      </c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>
        <f t="shared" si="9"/>
        <v>8.960239638669819</v>
      </c>
    </row>
    <row r="55" spans="1:36" s="244" customFormat="1" ht="12.75">
      <c r="A55" s="231" t="s">
        <v>50</v>
      </c>
      <c r="B55" s="54">
        <f aca="true" t="shared" si="12" ref="B55:N55">SUM(B43:B54)</f>
        <v>3272379</v>
      </c>
      <c r="C55" s="54">
        <f t="shared" si="12"/>
        <v>3108846</v>
      </c>
      <c r="D55" s="54">
        <f t="shared" si="12"/>
        <v>3043320</v>
      </c>
      <c r="E55" s="54">
        <f t="shared" si="12"/>
        <v>3207988</v>
      </c>
      <c r="F55" s="54">
        <f t="shared" si="12"/>
        <v>3389767</v>
      </c>
      <c r="G55" s="54">
        <f t="shared" si="12"/>
        <v>3352026</v>
      </c>
      <c r="H55" s="54">
        <f t="shared" si="12"/>
        <v>3512680</v>
      </c>
      <c r="I55" s="54">
        <f t="shared" si="12"/>
        <v>3634969</v>
      </c>
      <c r="J55" s="54">
        <f t="shared" si="12"/>
        <v>3368101</v>
      </c>
      <c r="K55" s="54">
        <f t="shared" si="12"/>
        <v>3472079</v>
      </c>
      <c r="L55" s="54">
        <f t="shared" si="12"/>
        <v>3618668</v>
      </c>
      <c r="M55" s="54">
        <f t="shared" si="12"/>
        <v>3678967</v>
      </c>
      <c r="N55" s="54">
        <f t="shared" si="12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>
        <f>SUM(S43:S54)</f>
        <v>5471263</v>
      </c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>
        <f>(S55-R55)/R55*100</f>
        <v>6.722429104973268</v>
      </c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3"/>
      <c r="S58" s="343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55" zoomScaleSheetLayoutView="55" zoomScalePageLayoutView="0" workbookViewId="0" topLeftCell="A243">
      <selection activeCell="A282" sqref="A282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62"/>
      <c r="S3" s="362"/>
      <c r="T3" s="362"/>
      <c r="U3" s="362"/>
      <c r="V3" s="362"/>
      <c r="W3" s="362"/>
      <c r="X3" s="365"/>
      <c r="Y3" s="365"/>
      <c r="AM3" s="259"/>
      <c r="AN3" s="259"/>
      <c r="AO3" s="259"/>
      <c r="AP3" s="259"/>
    </row>
    <row r="4" spans="1:42" s="258" customFormat="1" ht="15.75" thickBot="1">
      <c r="A4" s="260"/>
      <c r="B4" s="362">
        <v>2001</v>
      </c>
      <c r="C4" s="362"/>
      <c r="D4" s="362"/>
      <c r="E4" s="362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  <c r="S4" s="366"/>
      <c r="T4" s="366"/>
      <c r="U4" s="366"/>
      <c r="V4" s="366"/>
      <c r="W4" s="366"/>
      <c r="X4" s="366"/>
      <c r="Y4" s="261"/>
      <c r="AM4" s="259"/>
      <c r="AN4" s="259"/>
      <c r="AO4" s="259"/>
      <c r="AP4" s="259"/>
    </row>
    <row r="5" spans="1:42" s="263" customFormat="1" ht="15.75" thickBot="1">
      <c r="A5" s="262"/>
      <c r="B5" s="361" t="s">
        <v>96</v>
      </c>
      <c r="C5" s="356"/>
      <c r="D5" s="356" t="s">
        <v>97</v>
      </c>
      <c r="E5" s="356"/>
      <c r="F5" s="356" t="s">
        <v>98</v>
      </c>
      <c r="G5" s="356"/>
      <c r="H5" s="356" t="s">
        <v>99</v>
      </c>
      <c r="I5" s="356"/>
      <c r="J5" s="356" t="s">
        <v>100</v>
      </c>
      <c r="K5" s="356"/>
      <c r="L5" s="356" t="s">
        <v>101</v>
      </c>
      <c r="M5" s="356"/>
      <c r="N5" s="356" t="s">
        <v>102</v>
      </c>
      <c r="O5" s="356"/>
      <c r="P5" s="356" t="s">
        <v>103</v>
      </c>
      <c r="Q5" s="356"/>
      <c r="R5" s="356" t="s">
        <v>104</v>
      </c>
      <c r="S5" s="356"/>
      <c r="T5" s="356" t="s">
        <v>105</v>
      </c>
      <c r="U5" s="356"/>
      <c r="V5" s="356" t="s">
        <v>106</v>
      </c>
      <c r="W5" s="356"/>
      <c r="X5" s="356" t="s">
        <v>107</v>
      </c>
      <c r="Y5" s="357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62">
        <v>2002</v>
      </c>
      <c r="C12" s="362"/>
      <c r="D12" s="362"/>
      <c r="E12" s="362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6"/>
      <c r="S12" s="366"/>
      <c r="T12" s="366"/>
      <c r="U12" s="366"/>
      <c r="V12" s="366"/>
      <c r="W12" s="366"/>
      <c r="X12" s="366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61" t="s">
        <v>96</v>
      </c>
      <c r="C13" s="356"/>
      <c r="D13" s="356" t="s">
        <v>97</v>
      </c>
      <c r="E13" s="356"/>
      <c r="F13" s="356" t="s">
        <v>98</v>
      </c>
      <c r="G13" s="356"/>
      <c r="H13" s="356" t="s">
        <v>99</v>
      </c>
      <c r="I13" s="356"/>
      <c r="J13" s="356" t="s">
        <v>100</v>
      </c>
      <c r="K13" s="356"/>
      <c r="L13" s="356" t="s">
        <v>101</v>
      </c>
      <c r="M13" s="356"/>
      <c r="N13" s="356" t="s">
        <v>102</v>
      </c>
      <c r="O13" s="356"/>
      <c r="P13" s="356" t="s">
        <v>103</v>
      </c>
      <c r="Q13" s="356"/>
      <c r="R13" s="356" t="s">
        <v>104</v>
      </c>
      <c r="S13" s="356"/>
      <c r="T13" s="356" t="s">
        <v>105</v>
      </c>
      <c r="U13" s="356"/>
      <c r="V13" s="356" t="s">
        <v>106</v>
      </c>
      <c r="W13" s="356"/>
      <c r="X13" s="356" t="s">
        <v>107</v>
      </c>
      <c r="Y13" s="357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7">
        <v>2003</v>
      </c>
      <c r="C20" s="367"/>
      <c r="D20" s="367"/>
      <c r="E20" s="367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9"/>
      <c r="S20" s="369"/>
      <c r="T20" s="369"/>
      <c r="U20" s="369"/>
      <c r="V20" s="369"/>
      <c r="W20" s="369"/>
      <c r="X20" s="369"/>
      <c r="Y20" s="290"/>
    </row>
    <row r="21" spans="1:42" s="263" customFormat="1" ht="15.75" thickBot="1">
      <c r="A21" s="262"/>
      <c r="B21" s="361" t="s">
        <v>96</v>
      </c>
      <c r="C21" s="356"/>
      <c r="D21" s="356" t="s">
        <v>97</v>
      </c>
      <c r="E21" s="356"/>
      <c r="F21" s="356" t="s">
        <v>98</v>
      </c>
      <c r="G21" s="356"/>
      <c r="H21" s="356" t="s">
        <v>99</v>
      </c>
      <c r="I21" s="356"/>
      <c r="J21" s="356" t="s">
        <v>100</v>
      </c>
      <c r="K21" s="356"/>
      <c r="L21" s="356" t="s">
        <v>101</v>
      </c>
      <c r="M21" s="356"/>
      <c r="N21" s="356" t="s">
        <v>102</v>
      </c>
      <c r="O21" s="356"/>
      <c r="P21" s="356" t="s">
        <v>103</v>
      </c>
      <c r="Q21" s="356"/>
      <c r="R21" s="356" t="s">
        <v>104</v>
      </c>
      <c r="S21" s="356"/>
      <c r="T21" s="356" t="s">
        <v>105</v>
      </c>
      <c r="U21" s="356"/>
      <c r="V21" s="356" t="s">
        <v>106</v>
      </c>
      <c r="W21" s="356"/>
      <c r="X21" s="356" t="s">
        <v>107</v>
      </c>
      <c r="Y21" s="357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62">
        <v>2004</v>
      </c>
      <c r="C28" s="362"/>
      <c r="D28" s="362"/>
      <c r="E28" s="362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6"/>
      <c r="S28" s="366"/>
      <c r="T28" s="366"/>
      <c r="U28" s="366"/>
      <c r="V28" s="366"/>
      <c r="W28" s="366"/>
      <c r="X28" s="366"/>
      <c r="Y28" s="292"/>
    </row>
    <row r="29" spans="1:42" s="263" customFormat="1" ht="15.75" thickBot="1">
      <c r="A29" s="262"/>
      <c r="B29" s="361" t="s">
        <v>96</v>
      </c>
      <c r="C29" s="356"/>
      <c r="D29" s="356" t="s">
        <v>97</v>
      </c>
      <c r="E29" s="356"/>
      <c r="F29" s="356" t="s">
        <v>98</v>
      </c>
      <c r="G29" s="356"/>
      <c r="H29" s="356" t="s">
        <v>99</v>
      </c>
      <c r="I29" s="356"/>
      <c r="J29" s="356" t="s">
        <v>100</v>
      </c>
      <c r="K29" s="356"/>
      <c r="L29" s="356" t="s">
        <v>101</v>
      </c>
      <c r="M29" s="356"/>
      <c r="N29" s="356" t="s">
        <v>102</v>
      </c>
      <c r="O29" s="356"/>
      <c r="P29" s="356" t="s">
        <v>103</v>
      </c>
      <c r="Q29" s="356"/>
      <c r="R29" s="356" t="s">
        <v>104</v>
      </c>
      <c r="S29" s="356"/>
      <c r="T29" s="356" t="s">
        <v>105</v>
      </c>
      <c r="U29" s="356"/>
      <c r="V29" s="356" t="s">
        <v>106</v>
      </c>
      <c r="W29" s="356"/>
      <c r="X29" s="356" t="s">
        <v>107</v>
      </c>
      <c r="Y29" s="357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62">
        <v>2005</v>
      </c>
      <c r="C36" s="362"/>
      <c r="D36" s="362"/>
      <c r="E36" s="362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6"/>
      <c r="S36" s="366"/>
      <c r="T36" s="366"/>
      <c r="U36" s="366"/>
      <c r="V36" s="366"/>
      <c r="W36" s="366"/>
      <c r="X36" s="366"/>
      <c r="Y36" s="292"/>
    </row>
    <row r="37" spans="1:42" s="263" customFormat="1" ht="15.75" thickBot="1">
      <c r="A37" s="262"/>
      <c r="B37" s="361" t="s">
        <v>96</v>
      </c>
      <c r="C37" s="356"/>
      <c r="D37" s="356" t="s">
        <v>97</v>
      </c>
      <c r="E37" s="356"/>
      <c r="F37" s="356" t="s">
        <v>98</v>
      </c>
      <c r="G37" s="356"/>
      <c r="H37" s="356" t="s">
        <v>99</v>
      </c>
      <c r="I37" s="356"/>
      <c r="J37" s="356" t="s">
        <v>100</v>
      </c>
      <c r="K37" s="356"/>
      <c r="L37" s="356" t="s">
        <v>101</v>
      </c>
      <c r="M37" s="356"/>
      <c r="N37" s="356" t="s">
        <v>102</v>
      </c>
      <c r="O37" s="356"/>
      <c r="P37" s="356" t="s">
        <v>103</v>
      </c>
      <c r="Q37" s="356"/>
      <c r="R37" s="356" t="s">
        <v>104</v>
      </c>
      <c r="S37" s="356"/>
      <c r="T37" s="356" t="s">
        <v>105</v>
      </c>
      <c r="U37" s="356"/>
      <c r="V37" s="356" t="s">
        <v>106</v>
      </c>
      <c r="W37" s="356"/>
      <c r="X37" s="356" t="s">
        <v>107</v>
      </c>
      <c r="Y37" s="357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62">
        <v>2006</v>
      </c>
      <c r="C44" s="362"/>
      <c r="D44" s="362"/>
      <c r="E44" s="362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6"/>
      <c r="S44" s="366"/>
      <c r="T44" s="366"/>
      <c r="U44" s="366"/>
      <c r="V44" s="366"/>
      <c r="W44" s="366"/>
      <c r="X44" s="366"/>
    </row>
    <row r="45" spans="1:42" s="263" customFormat="1" ht="15.75" thickBot="1">
      <c r="A45" s="262"/>
      <c r="B45" s="361" t="s">
        <v>96</v>
      </c>
      <c r="C45" s="356"/>
      <c r="D45" s="356" t="s">
        <v>97</v>
      </c>
      <c r="E45" s="356"/>
      <c r="F45" s="356" t="s">
        <v>98</v>
      </c>
      <c r="G45" s="356"/>
      <c r="H45" s="356" t="s">
        <v>99</v>
      </c>
      <c r="I45" s="356"/>
      <c r="J45" s="356" t="s">
        <v>100</v>
      </c>
      <c r="K45" s="356"/>
      <c r="L45" s="356" t="s">
        <v>101</v>
      </c>
      <c r="M45" s="356"/>
      <c r="N45" s="356" t="s">
        <v>102</v>
      </c>
      <c r="O45" s="356"/>
      <c r="P45" s="356" t="s">
        <v>103</v>
      </c>
      <c r="Q45" s="356"/>
      <c r="R45" s="356" t="s">
        <v>104</v>
      </c>
      <c r="S45" s="356"/>
      <c r="T45" s="356" t="s">
        <v>105</v>
      </c>
      <c r="U45" s="356"/>
      <c r="V45" s="356" t="s">
        <v>106</v>
      </c>
      <c r="W45" s="356"/>
      <c r="X45" s="356" t="s">
        <v>107</v>
      </c>
      <c r="Y45" s="357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62">
        <v>2007</v>
      </c>
      <c r="C52" s="362"/>
      <c r="D52" s="362"/>
      <c r="E52" s="362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6"/>
      <c r="S52" s="366"/>
      <c r="T52" s="366"/>
      <c r="U52" s="366"/>
      <c r="V52" s="366"/>
      <c r="W52" s="366"/>
      <c r="X52" s="366"/>
    </row>
    <row r="53" spans="1:42" s="263" customFormat="1" ht="15.75" thickBot="1">
      <c r="A53" s="262"/>
      <c r="B53" s="361" t="s">
        <v>96</v>
      </c>
      <c r="C53" s="356"/>
      <c r="D53" s="356" t="s">
        <v>97</v>
      </c>
      <c r="E53" s="356"/>
      <c r="F53" s="356" t="s">
        <v>98</v>
      </c>
      <c r="G53" s="356"/>
      <c r="H53" s="356" t="s">
        <v>99</v>
      </c>
      <c r="I53" s="356"/>
      <c r="J53" s="356" t="s">
        <v>100</v>
      </c>
      <c r="K53" s="356"/>
      <c r="L53" s="356" t="s">
        <v>101</v>
      </c>
      <c r="M53" s="356"/>
      <c r="N53" s="356" t="s">
        <v>102</v>
      </c>
      <c r="O53" s="356"/>
      <c r="P53" s="356" t="s">
        <v>103</v>
      </c>
      <c r="Q53" s="356"/>
      <c r="R53" s="356" t="s">
        <v>104</v>
      </c>
      <c r="S53" s="356"/>
      <c r="T53" s="356" t="s">
        <v>105</v>
      </c>
      <c r="U53" s="356"/>
      <c r="V53" s="356" t="s">
        <v>106</v>
      </c>
      <c r="W53" s="356"/>
      <c r="X53" s="356" t="s">
        <v>107</v>
      </c>
      <c r="Y53" s="357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62">
        <v>2008</v>
      </c>
      <c r="C60" s="362"/>
      <c r="D60" s="362"/>
      <c r="E60" s="362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6"/>
      <c r="S60" s="366"/>
      <c r="T60" s="366"/>
      <c r="U60" s="366"/>
      <c r="V60" s="366"/>
      <c r="W60" s="366"/>
      <c r="X60" s="366"/>
    </row>
    <row r="61" spans="1:42" s="263" customFormat="1" ht="15.75" thickBot="1">
      <c r="A61" s="262"/>
      <c r="B61" s="361" t="s">
        <v>96</v>
      </c>
      <c r="C61" s="356"/>
      <c r="D61" s="356" t="s">
        <v>97</v>
      </c>
      <c r="E61" s="356"/>
      <c r="F61" s="356" t="s">
        <v>98</v>
      </c>
      <c r="G61" s="356"/>
      <c r="H61" s="356" t="s">
        <v>99</v>
      </c>
      <c r="I61" s="356"/>
      <c r="J61" s="356" t="s">
        <v>100</v>
      </c>
      <c r="K61" s="356"/>
      <c r="L61" s="356" t="s">
        <v>101</v>
      </c>
      <c r="M61" s="356"/>
      <c r="N61" s="356" t="s">
        <v>102</v>
      </c>
      <c r="O61" s="356"/>
      <c r="P61" s="356" t="s">
        <v>103</v>
      </c>
      <c r="Q61" s="356"/>
      <c r="R61" s="356" t="s">
        <v>104</v>
      </c>
      <c r="S61" s="356"/>
      <c r="T61" s="356" t="s">
        <v>105</v>
      </c>
      <c r="U61" s="356"/>
      <c r="V61" s="356" t="s">
        <v>106</v>
      </c>
      <c r="W61" s="356"/>
      <c r="X61" s="356" t="s">
        <v>107</v>
      </c>
      <c r="Y61" s="357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62">
        <v>2009</v>
      </c>
      <c r="C68" s="362"/>
      <c r="D68" s="362"/>
      <c r="E68" s="362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6"/>
      <c r="S68" s="366"/>
      <c r="T68" s="366"/>
      <c r="U68" s="366"/>
      <c r="V68" s="366"/>
      <c r="W68" s="366"/>
      <c r="X68" s="366"/>
    </row>
    <row r="69" spans="1:42" s="263" customFormat="1" ht="15.75" thickBot="1">
      <c r="A69" s="262"/>
      <c r="B69" s="361" t="s">
        <v>96</v>
      </c>
      <c r="C69" s="356"/>
      <c r="D69" s="356" t="s">
        <v>97</v>
      </c>
      <c r="E69" s="356"/>
      <c r="F69" s="356" t="s">
        <v>98</v>
      </c>
      <c r="G69" s="356"/>
      <c r="H69" s="356" t="s">
        <v>99</v>
      </c>
      <c r="I69" s="356"/>
      <c r="J69" s="356" t="s">
        <v>100</v>
      </c>
      <c r="K69" s="356"/>
      <c r="L69" s="356" t="s">
        <v>101</v>
      </c>
      <c r="M69" s="356"/>
      <c r="N69" s="356" t="s">
        <v>102</v>
      </c>
      <c r="O69" s="356"/>
      <c r="P69" s="356" t="s">
        <v>103</v>
      </c>
      <c r="Q69" s="356"/>
      <c r="R69" s="356" t="s">
        <v>104</v>
      </c>
      <c r="S69" s="356"/>
      <c r="T69" s="356" t="s">
        <v>105</v>
      </c>
      <c r="U69" s="356"/>
      <c r="V69" s="356" t="s">
        <v>106</v>
      </c>
      <c r="W69" s="356"/>
      <c r="X69" s="356" t="s">
        <v>107</v>
      </c>
      <c r="Y69" s="357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62">
        <v>2010</v>
      </c>
      <c r="C76" s="362"/>
      <c r="D76" s="362"/>
      <c r="E76" s="362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6"/>
      <c r="S76" s="366"/>
      <c r="T76" s="366"/>
      <c r="U76" s="366"/>
      <c r="V76" s="366"/>
      <c r="W76" s="366"/>
      <c r="X76" s="366"/>
      <c r="Y76" s="251"/>
    </row>
    <row r="77" spans="1:42" s="263" customFormat="1" ht="15.75" thickBot="1">
      <c r="A77" s="262"/>
      <c r="B77" s="361" t="s">
        <v>96</v>
      </c>
      <c r="C77" s="356"/>
      <c r="D77" s="356" t="s">
        <v>97</v>
      </c>
      <c r="E77" s="356"/>
      <c r="F77" s="356" t="s">
        <v>98</v>
      </c>
      <c r="G77" s="356"/>
      <c r="H77" s="356" t="s">
        <v>99</v>
      </c>
      <c r="I77" s="356"/>
      <c r="J77" s="356" t="s">
        <v>100</v>
      </c>
      <c r="K77" s="356"/>
      <c r="L77" s="356" t="s">
        <v>101</v>
      </c>
      <c r="M77" s="356"/>
      <c r="N77" s="356" t="s">
        <v>102</v>
      </c>
      <c r="O77" s="356"/>
      <c r="P77" s="356" t="s">
        <v>103</v>
      </c>
      <c r="Q77" s="356"/>
      <c r="R77" s="356" t="s">
        <v>104</v>
      </c>
      <c r="S77" s="356"/>
      <c r="T77" s="356" t="s">
        <v>105</v>
      </c>
      <c r="U77" s="356"/>
      <c r="V77" s="356" t="s">
        <v>106</v>
      </c>
      <c r="W77" s="356"/>
      <c r="X77" s="356" t="s">
        <v>107</v>
      </c>
      <c r="Y77" s="357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62">
        <v>2011</v>
      </c>
      <c r="C84" s="362"/>
      <c r="D84" s="362"/>
      <c r="E84" s="362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6"/>
      <c r="S84" s="366"/>
      <c r="T84" s="366"/>
      <c r="U84" s="366"/>
      <c r="V84" s="366"/>
      <c r="W84" s="366"/>
      <c r="X84" s="366"/>
      <c r="Y84" s="251"/>
    </row>
    <row r="85" spans="1:42" s="263" customFormat="1" ht="15.75" thickBot="1">
      <c r="A85" s="262"/>
      <c r="B85" s="361" t="s">
        <v>96</v>
      </c>
      <c r="C85" s="356"/>
      <c r="D85" s="356" t="s">
        <v>97</v>
      </c>
      <c r="E85" s="356"/>
      <c r="F85" s="356" t="s">
        <v>98</v>
      </c>
      <c r="G85" s="356"/>
      <c r="H85" s="356" t="s">
        <v>99</v>
      </c>
      <c r="I85" s="356"/>
      <c r="J85" s="356" t="s">
        <v>100</v>
      </c>
      <c r="K85" s="356"/>
      <c r="L85" s="356" t="s">
        <v>101</v>
      </c>
      <c r="M85" s="356"/>
      <c r="N85" s="356" t="s">
        <v>102</v>
      </c>
      <c r="O85" s="356"/>
      <c r="P85" s="356" t="s">
        <v>103</v>
      </c>
      <c r="Q85" s="356"/>
      <c r="R85" s="356" t="s">
        <v>104</v>
      </c>
      <c r="S85" s="356"/>
      <c r="T85" s="356" t="s">
        <v>105</v>
      </c>
      <c r="U85" s="356"/>
      <c r="V85" s="356" t="s">
        <v>106</v>
      </c>
      <c r="W85" s="356"/>
      <c r="X85" s="356" t="s">
        <v>107</v>
      </c>
      <c r="Y85" s="357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62">
        <v>2012</v>
      </c>
      <c r="C92" s="362"/>
      <c r="D92" s="362"/>
      <c r="E92" s="362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6"/>
      <c r="S92" s="366"/>
      <c r="T92" s="366"/>
      <c r="U92" s="366"/>
      <c r="V92" s="366"/>
      <c r="W92" s="366"/>
      <c r="X92" s="366"/>
      <c r="Y92" s="251"/>
    </row>
    <row r="93" spans="1:42" s="263" customFormat="1" ht="15.75" thickBot="1">
      <c r="A93" s="262"/>
      <c r="B93" s="361" t="s">
        <v>96</v>
      </c>
      <c r="C93" s="356"/>
      <c r="D93" s="356" t="s">
        <v>97</v>
      </c>
      <c r="E93" s="356"/>
      <c r="F93" s="356" t="s">
        <v>98</v>
      </c>
      <c r="G93" s="356"/>
      <c r="H93" s="356" t="s">
        <v>99</v>
      </c>
      <c r="I93" s="356"/>
      <c r="J93" s="356" t="s">
        <v>100</v>
      </c>
      <c r="K93" s="356"/>
      <c r="L93" s="356" t="s">
        <v>101</v>
      </c>
      <c r="M93" s="356"/>
      <c r="N93" s="356" t="s">
        <v>102</v>
      </c>
      <c r="O93" s="356"/>
      <c r="P93" s="356" t="s">
        <v>103</v>
      </c>
      <c r="Q93" s="356"/>
      <c r="R93" s="356" t="s">
        <v>104</v>
      </c>
      <c r="S93" s="356"/>
      <c r="T93" s="356" t="s">
        <v>105</v>
      </c>
      <c r="U93" s="356"/>
      <c r="V93" s="356" t="s">
        <v>106</v>
      </c>
      <c r="W93" s="356"/>
      <c r="X93" s="356" t="s">
        <v>107</v>
      </c>
      <c r="Y93" s="357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62">
        <v>2013</v>
      </c>
      <c r="C100" s="362"/>
      <c r="D100" s="362"/>
      <c r="E100" s="362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6"/>
      <c r="S100" s="366"/>
      <c r="T100" s="366"/>
      <c r="U100" s="366"/>
      <c r="V100" s="366"/>
      <c r="W100" s="366"/>
      <c r="X100" s="366"/>
      <c r="Y100" s="251"/>
    </row>
    <row r="101" spans="1:42" s="263" customFormat="1" ht="15.75" thickBot="1">
      <c r="A101" s="262"/>
      <c r="B101" s="361" t="s">
        <v>96</v>
      </c>
      <c r="C101" s="356"/>
      <c r="D101" s="356" t="s">
        <v>97</v>
      </c>
      <c r="E101" s="356"/>
      <c r="F101" s="356" t="s">
        <v>98</v>
      </c>
      <c r="G101" s="356"/>
      <c r="H101" s="356" t="s">
        <v>99</v>
      </c>
      <c r="I101" s="356"/>
      <c r="J101" s="356" t="s">
        <v>100</v>
      </c>
      <c r="K101" s="356"/>
      <c r="L101" s="356" t="s">
        <v>101</v>
      </c>
      <c r="M101" s="356"/>
      <c r="N101" s="356" t="s">
        <v>102</v>
      </c>
      <c r="O101" s="356"/>
      <c r="P101" s="356" t="s">
        <v>103</v>
      </c>
      <c r="Q101" s="356"/>
      <c r="R101" s="356" t="s">
        <v>104</v>
      </c>
      <c r="S101" s="356"/>
      <c r="T101" s="356" t="s">
        <v>105</v>
      </c>
      <c r="U101" s="356"/>
      <c r="V101" s="356" t="s">
        <v>106</v>
      </c>
      <c r="W101" s="356"/>
      <c r="X101" s="356" t="s">
        <v>107</v>
      </c>
      <c r="Y101" s="357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62">
        <v>2014</v>
      </c>
      <c r="C108" s="362"/>
      <c r="D108" s="362"/>
      <c r="E108" s="362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6"/>
      <c r="S108" s="366"/>
      <c r="T108" s="366"/>
      <c r="U108" s="366"/>
      <c r="V108" s="366"/>
      <c r="W108" s="366"/>
      <c r="X108" s="366"/>
      <c r="Y108" s="251"/>
    </row>
    <row r="109" spans="1:42" s="263" customFormat="1" ht="15.75" thickBot="1">
      <c r="A109" s="262"/>
      <c r="B109" s="361" t="s">
        <v>96</v>
      </c>
      <c r="C109" s="356"/>
      <c r="D109" s="356" t="s">
        <v>97</v>
      </c>
      <c r="E109" s="356"/>
      <c r="F109" s="356" t="s">
        <v>98</v>
      </c>
      <c r="G109" s="356"/>
      <c r="H109" s="356" t="s">
        <v>99</v>
      </c>
      <c r="I109" s="356"/>
      <c r="J109" s="356" t="s">
        <v>100</v>
      </c>
      <c r="K109" s="356"/>
      <c r="L109" s="356" t="s">
        <v>101</v>
      </c>
      <c r="M109" s="356"/>
      <c r="N109" s="356" t="s">
        <v>102</v>
      </c>
      <c r="O109" s="356"/>
      <c r="P109" s="356" t="s">
        <v>103</v>
      </c>
      <c r="Q109" s="356"/>
      <c r="R109" s="356" t="s">
        <v>104</v>
      </c>
      <c r="S109" s="356"/>
      <c r="T109" s="356" t="s">
        <v>105</v>
      </c>
      <c r="U109" s="356"/>
      <c r="V109" s="356" t="s">
        <v>106</v>
      </c>
      <c r="W109" s="356"/>
      <c r="X109" s="356" t="s">
        <v>107</v>
      </c>
      <c r="Y109" s="357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62">
        <v>2015</v>
      </c>
      <c r="C116" s="362"/>
      <c r="D116" s="362"/>
      <c r="E116" s="362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6"/>
      <c r="S116" s="366"/>
      <c r="T116" s="366"/>
      <c r="U116" s="366"/>
      <c r="V116" s="366"/>
      <c r="W116" s="366"/>
      <c r="X116" s="366"/>
      <c r="Y116" s="251"/>
    </row>
    <row r="117" spans="1:42" s="263" customFormat="1" ht="15.75" thickBot="1">
      <c r="A117" s="262"/>
      <c r="B117" s="361" t="s">
        <v>96</v>
      </c>
      <c r="C117" s="356"/>
      <c r="D117" s="356" t="s">
        <v>97</v>
      </c>
      <c r="E117" s="356"/>
      <c r="F117" s="356" t="s">
        <v>98</v>
      </c>
      <c r="G117" s="356"/>
      <c r="H117" s="356" t="s">
        <v>99</v>
      </c>
      <c r="I117" s="356"/>
      <c r="J117" s="356" t="s">
        <v>100</v>
      </c>
      <c r="K117" s="356"/>
      <c r="L117" s="356" t="s">
        <v>101</v>
      </c>
      <c r="M117" s="356"/>
      <c r="N117" s="356" t="s">
        <v>102</v>
      </c>
      <c r="O117" s="356"/>
      <c r="P117" s="356" t="s">
        <v>103</v>
      </c>
      <c r="Q117" s="356"/>
      <c r="R117" s="356" t="s">
        <v>104</v>
      </c>
      <c r="S117" s="356"/>
      <c r="T117" s="356" t="s">
        <v>105</v>
      </c>
      <c r="U117" s="356"/>
      <c r="V117" s="356" t="s">
        <v>106</v>
      </c>
      <c r="W117" s="356"/>
      <c r="X117" s="356" t="s">
        <v>107</v>
      </c>
      <c r="Y117" s="357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62">
        <v>2016</v>
      </c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251"/>
    </row>
    <row r="125" spans="1:42" s="263" customFormat="1" ht="15.75" thickBot="1">
      <c r="A125" s="262"/>
      <c r="B125" s="364" t="s">
        <v>96</v>
      </c>
      <c r="C125" s="359"/>
      <c r="D125" s="358" t="s">
        <v>97</v>
      </c>
      <c r="E125" s="359"/>
      <c r="F125" s="358" t="s">
        <v>98</v>
      </c>
      <c r="G125" s="359"/>
      <c r="H125" s="358" t="s">
        <v>99</v>
      </c>
      <c r="I125" s="359"/>
      <c r="J125" s="358" t="s">
        <v>100</v>
      </c>
      <c r="K125" s="359"/>
      <c r="L125" s="358" t="s">
        <v>101</v>
      </c>
      <c r="M125" s="359"/>
      <c r="N125" s="358" t="s">
        <v>102</v>
      </c>
      <c r="O125" s="359"/>
      <c r="P125" s="358" t="s">
        <v>103</v>
      </c>
      <c r="Q125" s="359"/>
      <c r="R125" s="358" t="s">
        <v>104</v>
      </c>
      <c r="S125" s="359"/>
      <c r="T125" s="358" t="s">
        <v>105</v>
      </c>
      <c r="U125" s="359"/>
      <c r="V125" s="358" t="s">
        <v>106</v>
      </c>
      <c r="W125" s="359"/>
      <c r="X125" s="358" t="s">
        <v>107</v>
      </c>
      <c r="Y125" s="360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62">
        <v>2017</v>
      </c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251"/>
    </row>
    <row r="133" spans="1:42" s="263" customFormat="1" ht="15.75" thickBot="1">
      <c r="A133" s="262"/>
      <c r="B133" s="364" t="s">
        <v>96</v>
      </c>
      <c r="C133" s="359"/>
      <c r="D133" s="358" t="s">
        <v>97</v>
      </c>
      <c r="E133" s="359"/>
      <c r="F133" s="358" t="s">
        <v>98</v>
      </c>
      <c r="G133" s="359"/>
      <c r="H133" s="358" t="s">
        <v>99</v>
      </c>
      <c r="I133" s="359"/>
      <c r="J133" s="358" t="s">
        <v>100</v>
      </c>
      <c r="K133" s="359"/>
      <c r="L133" s="358" t="s">
        <v>101</v>
      </c>
      <c r="M133" s="359"/>
      <c r="N133" s="358" t="s">
        <v>102</v>
      </c>
      <c r="O133" s="359"/>
      <c r="P133" s="358" t="s">
        <v>103</v>
      </c>
      <c r="Q133" s="359"/>
      <c r="R133" s="358" t="s">
        <v>104</v>
      </c>
      <c r="S133" s="359"/>
      <c r="T133" s="358" t="s">
        <v>105</v>
      </c>
      <c r="U133" s="359"/>
      <c r="V133" s="358" t="s">
        <v>106</v>
      </c>
      <c r="W133" s="359"/>
      <c r="X133" s="358" t="s">
        <v>107</v>
      </c>
      <c r="Y133" s="360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62">
        <v>2018</v>
      </c>
      <c r="C140" s="363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251"/>
      <c r="AA140" s="288"/>
    </row>
    <row r="141" spans="1:27" ht="14.25" customHeight="1" thickBot="1">
      <c r="A141" s="262"/>
      <c r="B141" s="364" t="s">
        <v>96</v>
      </c>
      <c r="C141" s="359"/>
      <c r="D141" s="358" t="s">
        <v>97</v>
      </c>
      <c r="E141" s="359"/>
      <c r="F141" s="358" t="s">
        <v>98</v>
      </c>
      <c r="G141" s="359"/>
      <c r="H141" s="358" t="s">
        <v>99</v>
      </c>
      <c r="I141" s="359"/>
      <c r="J141" s="358" t="s">
        <v>100</v>
      </c>
      <c r="K141" s="359"/>
      <c r="L141" s="358" t="s">
        <v>101</v>
      </c>
      <c r="M141" s="359"/>
      <c r="N141" s="358" t="s">
        <v>102</v>
      </c>
      <c r="O141" s="359"/>
      <c r="P141" s="358" t="s">
        <v>103</v>
      </c>
      <c r="Q141" s="359"/>
      <c r="R141" s="358" t="s">
        <v>104</v>
      </c>
      <c r="S141" s="359"/>
      <c r="T141" s="358" t="s">
        <v>105</v>
      </c>
      <c r="U141" s="359"/>
      <c r="V141" s="358" t="s">
        <v>106</v>
      </c>
      <c r="W141" s="359"/>
      <c r="X141" s="358" t="s">
        <v>107</v>
      </c>
      <c r="Y141" s="360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>
        <f>+E143*Index!$B$13</f>
        <v>120.76543715999999</v>
      </c>
      <c r="E143" s="303">
        <v>206.34</v>
      </c>
      <c r="F143" s="280">
        <f>+G143*Index!$B$13</f>
        <v>151.26991803999996</v>
      </c>
      <c r="G143" s="298">
        <v>258.46</v>
      </c>
      <c r="H143" s="280">
        <f>+I143*Index!$B$13</f>
        <v>165.91932626</v>
      </c>
      <c r="I143" s="302">
        <v>283.49</v>
      </c>
      <c r="J143" s="279">
        <f>+K143*Index!$B$13</f>
        <v>207.41525285999998</v>
      </c>
      <c r="K143" s="279">
        <v>354.39</v>
      </c>
      <c r="L143" s="279">
        <f>+M143*Index!$B$13</f>
        <v>215.97781147999999</v>
      </c>
      <c r="M143" s="298">
        <v>369.02</v>
      </c>
      <c r="N143" s="279">
        <f>+O143*Index!$B$13</f>
        <v>258.12339221999997</v>
      </c>
      <c r="O143" s="280">
        <v>441.03</v>
      </c>
      <c r="P143" s="279">
        <f>+Q143*Index!$B$13</f>
        <v>257.94195728</v>
      </c>
      <c r="Q143" s="298">
        <v>440.72</v>
      </c>
      <c r="R143" s="279">
        <f>+S143*Index!$B$13</f>
        <v>230.3345827</v>
      </c>
      <c r="S143" s="298">
        <v>393.55</v>
      </c>
      <c r="T143" s="279">
        <f>+U143*Index!$B$13</f>
        <v>213.46698602</v>
      </c>
      <c r="U143" s="298">
        <v>364.73</v>
      </c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>
        <f>+E144*Index!$B$13</f>
        <v>179.21675154</v>
      </c>
      <c r="E144" s="298">
        <v>306.21</v>
      </c>
      <c r="F144" s="280">
        <f>+G144*Index!$B$13</f>
        <v>178.33884053999998</v>
      </c>
      <c r="G144" s="298">
        <v>304.71</v>
      </c>
      <c r="H144" s="280">
        <f>+I144*Index!$B$13</f>
        <v>162.11504526</v>
      </c>
      <c r="I144" s="302">
        <v>276.99</v>
      </c>
      <c r="J144" s="279">
        <f>+K144*Index!$B$13</f>
        <v>166.15928859999997</v>
      </c>
      <c r="K144" s="279">
        <v>283.9</v>
      </c>
      <c r="L144" s="279">
        <f>+M144*Index!$B$13</f>
        <v>183.79359421999996</v>
      </c>
      <c r="M144" s="298">
        <v>314.03</v>
      </c>
      <c r="N144" s="279">
        <f>+O144*Index!$B$13</f>
        <v>194.22902964</v>
      </c>
      <c r="O144" s="270">
        <v>331.86</v>
      </c>
      <c r="P144" s="279">
        <f>+Q144*Index!$B$13</f>
        <v>201.0708827</v>
      </c>
      <c r="Q144" s="298">
        <v>343.55</v>
      </c>
      <c r="R144" s="279">
        <f>+S144*Index!$B$13</f>
        <v>186.80775531999998</v>
      </c>
      <c r="S144" s="298">
        <v>319.18</v>
      </c>
      <c r="T144" s="279">
        <f>+U144*Index!$B$13</f>
        <v>174.51700132</v>
      </c>
      <c r="U144" s="298">
        <v>298.18</v>
      </c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>
        <f>+E145*Index!$B$13</f>
        <v>304.00887381999996</v>
      </c>
      <c r="E145" s="349">
        <v>519.43</v>
      </c>
      <c r="F145" s="266">
        <f>+G145*Index!$B$13</f>
        <v>335.05765952</v>
      </c>
      <c r="G145" s="299">
        <v>572.48</v>
      </c>
      <c r="H145" s="266">
        <f>+I145*Index!$B$13</f>
        <v>337.93135485999994</v>
      </c>
      <c r="I145" s="299">
        <v>577.39</v>
      </c>
      <c r="J145" s="287">
        <f>+K145*Index!$B$13</f>
        <v>382.85113435999995</v>
      </c>
      <c r="K145" s="287">
        <v>654.14</v>
      </c>
      <c r="L145" s="287">
        <f>+M145*Index!$B$13</f>
        <v>409.62156711999995</v>
      </c>
      <c r="M145" s="275">
        <v>699.88</v>
      </c>
      <c r="N145" s="287">
        <f>+O145*Index!$B$13</f>
        <v>462.74103535999996</v>
      </c>
      <c r="O145" s="275">
        <v>790.64</v>
      </c>
      <c r="P145" s="287">
        <f>+Q145*Index!$B$13</f>
        <v>468.59962809999996</v>
      </c>
      <c r="Q145" s="299">
        <v>800.65</v>
      </c>
      <c r="R145" s="287">
        <f>+S145*Index!$B$13</f>
        <v>426.21408501999997</v>
      </c>
      <c r="S145" s="287">
        <v>728.23</v>
      </c>
      <c r="T145" s="287">
        <f>+U145*Index!$B$13</f>
        <v>396.58166239999997</v>
      </c>
      <c r="U145" s="287">
        <v>677.6</v>
      </c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>
        <f>+E146*Index!$B$13</f>
        <v>33.407439919999995</v>
      </c>
      <c r="E146" s="298">
        <v>57.08</v>
      </c>
      <c r="F146" s="280">
        <f>+G146*Index!$B$13</f>
        <v>40.36634778</v>
      </c>
      <c r="G146" s="303">
        <v>68.97</v>
      </c>
      <c r="H146" s="280">
        <f>+I146*Index!$B$13</f>
        <v>41.71833072</v>
      </c>
      <c r="I146" s="303">
        <v>71.28</v>
      </c>
      <c r="J146" s="279">
        <f>+K146*Index!$B$13</f>
        <v>44.51594044</v>
      </c>
      <c r="K146" s="279">
        <v>76.06</v>
      </c>
      <c r="L146" s="279">
        <f>+M146*Index!$B$13</f>
        <v>45.013423339999996</v>
      </c>
      <c r="M146" s="270">
        <v>76.91</v>
      </c>
      <c r="N146" s="279">
        <f>+O146*Index!$B$13</f>
        <v>46.739981639999996</v>
      </c>
      <c r="O146" s="270">
        <v>79.86</v>
      </c>
      <c r="P146" s="279">
        <f>+Q146*Index!$B$13</f>
        <v>45.49334802</v>
      </c>
      <c r="Q146" s="298">
        <v>77.73</v>
      </c>
      <c r="R146" s="279">
        <f>+S146*Index!$B$13</f>
        <v>44.867104839999996</v>
      </c>
      <c r="S146" s="279">
        <v>76.66</v>
      </c>
      <c r="T146" s="279">
        <f>+U146*Index!$B$13</f>
        <v>44.55690961999999</v>
      </c>
      <c r="U146" s="279">
        <v>76.13</v>
      </c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63" t="s">
        <v>78</v>
      </c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07"/>
      <c r="W156" s="308"/>
      <c r="Y156" s="308"/>
      <c r="AA156" s="309"/>
    </row>
    <row r="157" spans="1:42" s="263" customFormat="1" ht="15.75" thickBot="1">
      <c r="A157" s="262"/>
      <c r="B157" s="361" t="s">
        <v>96</v>
      </c>
      <c r="C157" s="356"/>
      <c r="D157" s="356" t="s">
        <v>97</v>
      </c>
      <c r="E157" s="356"/>
      <c r="F157" s="356" t="s">
        <v>98</v>
      </c>
      <c r="G157" s="356"/>
      <c r="H157" s="356" t="s">
        <v>99</v>
      </c>
      <c r="I157" s="356"/>
      <c r="J157" s="356" t="s">
        <v>100</v>
      </c>
      <c r="K157" s="356"/>
      <c r="L157" s="356" t="s">
        <v>101</v>
      </c>
      <c r="M157" s="356"/>
      <c r="N157" s="356" t="s">
        <v>102</v>
      </c>
      <c r="O157" s="356"/>
      <c r="P157" s="356" t="s">
        <v>103</v>
      </c>
      <c r="Q157" s="356"/>
      <c r="R157" s="356" t="s">
        <v>104</v>
      </c>
      <c r="S157" s="356"/>
      <c r="T157" s="356" t="s">
        <v>105</v>
      </c>
      <c r="U157" s="356"/>
      <c r="V157" s="356" t="s">
        <v>106</v>
      </c>
      <c r="W157" s="356"/>
      <c r="X157" s="356" t="s">
        <v>107</v>
      </c>
      <c r="Y157" s="357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62" t="s">
        <v>79</v>
      </c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61" t="s">
        <v>96</v>
      </c>
      <c r="C164" s="356"/>
      <c r="D164" s="356" t="s">
        <v>97</v>
      </c>
      <c r="E164" s="356"/>
      <c r="F164" s="356" t="s">
        <v>98</v>
      </c>
      <c r="G164" s="356"/>
      <c r="H164" s="356" t="s">
        <v>99</v>
      </c>
      <c r="I164" s="356"/>
      <c r="J164" s="356" t="s">
        <v>100</v>
      </c>
      <c r="K164" s="356"/>
      <c r="L164" s="356" t="s">
        <v>101</v>
      </c>
      <c r="M164" s="356"/>
      <c r="N164" s="356" t="s">
        <v>102</v>
      </c>
      <c r="O164" s="356"/>
      <c r="P164" s="356" t="s">
        <v>103</v>
      </c>
      <c r="Q164" s="356"/>
      <c r="R164" s="356" t="s">
        <v>104</v>
      </c>
      <c r="S164" s="356"/>
      <c r="T164" s="356" t="s">
        <v>105</v>
      </c>
      <c r="U164" s="356"/>
      <c r="V164" s="356" t="s">
        <v>106</v>
      </c>
      <c r="W164" s="356"/>
      <c r="X164" s="356" t="s">
        <v>107</v>
      </c>
      <c r="Y164" s="357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62" t="s">
        <v>80</v>
      </c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07"/>
      <c r="V170" s="271"/>
      <c r="W170" s="308"/>
      <c r="X170" s="271"/>
    </row>
    <row r="171" spans="1:42" s="263" customFormat="1" ht="15.75" thickBot="1">
      <c r="A171" s="262"/>
      <c r="B171" s="361" t="s">
        <v>96</v>
      </c>
      <c r="C171" s="356"/>
      <c r="D171" s="356" t="s">
        <v>97</v>
      </c>
      <c r="E171" s="356"/>
      <c r="F171" s="356" t="s">
        <v>98</v>
      </c>
      <c r="G171" s="356"/>
      <c r="H171" s="356" t="s">
        <v>99</v>
      </c>
      <c r="I171" s="356"/>
      <c r="J171" s="356" t="s">
        <v>100</v>
      </c>
      <c r="K171" s="356"/>
      <c r="L171" s="356" t="s">
        <v>101</v>
      </c>
      <c r="M171" s="356"/>
      <c r="N171" s="356" t="s">
        <v>102</v>
      </c>
      <c r="O171" s="356"/>
      <c r="P171" s="356" t="s">
        <v>103</v>
      </c>
      <c r="Q171" s="356"/>
      <c r="R171" s="356" t="s">
        <v>104</v>
      </c>
      <c r="S171" s="356"/>
      <c r="T171" s="356" t="s">
        <v>105</v>
      </c>
      <c r="U171" s="356"/>
      <c r="V171" s="356" t="s">
        <v>106</v>
      </c>
      <c r="W171" s="356"/>
      <c r="X171" s="356" t="s">
        <v>107</v>
      </c>
      <c r="Y171" s="357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62" t="s">
        <v>81</v>
      </c>
      <c r="C177" s="362"/>
      <c r="D177" s="362"/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  <c r="Q177" s="362"/>
      <c r="R177" s="362"/>
      <c r="S177" s="362"/>
      <c r="T177" s="362"/>
      <c r="U177" s="307"/>
    </row>
    <row r="178" spans="1:42" s="263" customFormat="1" ht="15.75" thickBot="1">
      <c r="A178" s="262"/>
      <c r="B178" s="361" t="s">
        <v>96</v>
      </c>
      <c r="C178" s="356"/>
      <c r="D178" s="356" t="s">
        <v>97</v>
      </c>
      <c r="E178" s="356"/>
      <c r="F178" s="356" t="s">
        <v>98</v>
      </c>
      <c r="G178" s="356"/>
      <c r="H178" s="356" t="s">
        <v>99</v>
      </c>
      <c r="I178" s="356"/>
      <c r="J178" s="356" t="s">
        <v>100</v>
      </c>
      <c r="K178" s="356"/>
      <c r="L178" s="356" t="s">
        <v>101</v>
      </c>
      <c r="M178" s="356"/>
      <c r="N178" s="356" t="s">
        <v>102</v>
      </c>
      <c r="O178" s="356"/>
      <c r="P178" s="356" t="s">
        <v>103</v>
      </c>
      <c r="Q178" s="356"/>
      <c r="R178" s="356" t="s">
        <v>104</v>
      </c>
      <c r="S178" s="356"/>
      <c r="T178" s="356" t="s">
        <v>105</v>
      </c>
      <c r="U178" s="356"/>
      <c r="V178" s="356" t="s">
        <v>106</v>
      </c>
      <c r="W178" s="356"/>
      <c r="X178" s="356" t="s">
        <v>107</v>
      </c>
      <c r="Y178" s="357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62" t="s">
        <v>82</v>
      </c>
      <c r="C184" s="362"/>
      <c r="D184" s="362"/>
      <c r="E184" s="362"/>
      <c r="F184" s="362"/>
      <c r="G184" s="362"/>
      <c r="H184" s="362"/>
      <c r="I184" s="362"/>
      <c r="J184" s="362"/>
      <c r="K184" s="362"/>
      <c r="L184" s="362"/>
      <c r="M184" s="362"/>
      <c r="N184" s="362"/>
      <c r="O184" s="362"/>
      <c r="P184" s="362"/>
      <c r="Q184" s="362"/>
      <c r="R184" s="362"/>
      <c r="S184" s="362"/>
      <c r="T184" s="362"/>
      <c r="U184" s="307"/>
    </row>
    <row r="185" spans="1:42" s="263" customFormat="1" ht="15.75" thickBot="1">
      <c r="A185" s="262"/>
      <c r="B185" s="361" t="s">
        <v>96</v>
      </c>
      <c r="C185" s="356"/>
      <c r="D185" s="356" t="s">
        <v>97</v>
      </c>
      <c r="E185" s="356"/>
      <c r="F185" s="356" t="s">
        <v>98</v>
      </c>
      <c r="G185" s="356"/>
      <c r="H185" s="356" t="s">
        <v>99</v>
      </c>
      <c r="I185" s="356"/>
      <c r="J185" s="356" t="s">
        <v>100</v>
      </c>
      <c r="K185" s="356"/>
      <c r="L185" s="356" t="s">
        <v>101</v>
      </c>
      <c r="M185" s="356"/>
      <c r="N185" s="356" t="s">
        <v>102</v>
      </c>
      <c r="O185" s="356"/>
      <c r="P185" s="356" t="s">
        <v>103</v>
      </c>
      <c r="Q185" s="356"/>
      <c r="R185" s="356" t="s">
        <v>104</v>
      </c>
      <c r="S185" s="356"/>
      <c r="T185" s="356" t="s">
        <v>105</v>
      </c>
      <c r="U185" s="356"/>
      <c r="V185" s="356" t="s">
        <v>106</v>
      </c>
      <c r="W185" s="356"/>
      <c r="X185" s="356" t="s">
        <v>107</v>
      </c>
      <c r="Y185" s="357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62" t="s">
        <v>83</v>
      </c>
      <c r="C191" s="362"/>
      <c r="D191" s="362"/>
      <c r="E191" s="362"/>
      <c r="F191" s="362"/>
      <c r="G191" s="362"/>
      <c r="H191" s="362"/>
      <c r="I191" s="362"/>
      <c r="J191" s="362"/>
      <c r="K191" s="362"/>
      <c r="L191" s="362"/>
      <c r="M191" s="362"/>
      <c r="N191" s="362"/>
      <c r="O191" s="362"/>
      <c r="P191" s="362"/>
      <c r="Q191" s="362"/>
      <c r="R191" s="362"/>
      <c r="S191" s="362"/>
      <c r="T191" s="362"/>
      <c r="U191" s="307"/>
    </row>
    <row r="192" spans="1:42" s="263" customFormat="1" ht="15.75" thickBot="1">
      <c r="A192" s="262"/>
      <c r="B192" s="361" t="s">
        <v>96</v>
      </c>
      <c r="C192" s="356"/>
      <c r="D192" s="356" t="s">
        <v>97</v>
      </c>
      <c r="E192" s="356"/>
      <c r="F192" s="356" t="s">
        <v>98</v>
      </c>
      <c r="G192" s="356"/>
      <c r="H192" s="356" t="s">
        <v>99</v>
      </c>
      <c r="I192" s="356"/>
      <c r="J192" s="356" t="s">
        <v>100</v>
      </c>
      <c r="K192" s="356"/>
      <c r="L192" s="356" t="s">
        <v>101</v>
      </c>
      <c r="M192" s="356"/>
      <c r="N192" s="356" t="s">
        <v>102</v>
      </c>
      <c r="O192" s="356"/>
      <c r="P192" s="356" t="s">
        <v>103</v>
      </c>
      <c r="Q192" s="356"/>
      <c r="R192" s="356" t="s">
        <v>104</v>
      </c>
      <c r="S192" s="356"/>
      <c r="T192" s="356" t="s">
        <v>105</v>
      </c>
      <c r="U192" s="356"/>
      <c r="V192" s="356" t="s">
        <v>106</v>
      </c>
      <c r="W192" s="356"/>
      <c r="X192" s="356" t="s">
        <v>107</v>
      </c>
      <c r="Y192" s="357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62" t="s">
        <v>84</v>
      </c>
      <c r="C198" s="362"/>
      <c r="D198" s="362"/>
      <c r="E198" s="362"/>
      <c r="F198" s="36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07"/>
    </row>
    <row r="199" spans="1:42" s="263" customFormat="1" ht="15.75" thickBot="1">
      <c r="A199" s="262"/>
      <c r="B199" s="361" t="s">
        <v>96</v>
      </c>
      <c r="C199" s="356"/>
      <c r="D199" s="356" t="s">
        <v>97</v>
      </c>
      <c r="E199" s="356"/>
      <c r="F199" s="356" t="s">
        <v>98</v>
      </c>
      <c r="G199" s="356"/>
      <c r="H199" s="356" t="s">
        <v>99</v>
      </c>
      <c r="I199" s="356"/>
      <c r="J199" s="356" t="s">
        <v>100</v>
      </c>
      <c r="K199" s="356"/>
      <c r="L199" s="356" t="s">
        <v>101</v>
      </c>
      <c r="M199" s="356"/>
      <c r="N199" s="356" t="s">
        <v>102</v>
      </c>
      <c r="O199" s="356"/>
      <c r="P199" s="356" t="s">
        <v>103</v>
      </c>
      <c r="Q199" s="356"/>
      <c r="R199" s="356" t="s">
        <v>104</v>
      </c>
      <c r="S199" s="356"/>
      <c r="T199" s="356" t="s">
        <v>105</v>
      </c>
      <c r="U199" s="356"/>
      <c r="V199" s="356" t="s">
        <v>106</v>
      </c>
      <c r="W199" s="356"/>
      <c r="X199" s="356" t="s">
        <v>107</v>
      </c>
      <c r="Y199" s="357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62" t="s">
        <v>85</v>
      </c>
      <c r="C205" s="362"/>
      <c r="D205" s="362"/>
      <c r="E205" s="362"/>
      <c r="F205" s="362"/>
      <c r="G205" s="362"/>
      <c r="H205" s="362"/>
      <c r="I205" s="362"/>
      <c r="J205" s="362"/>
      <c r="K205" s="362"/>
      <c r="L205" s="362"/>
      <c r="M205" s="362"/>
      <c r="N205" s="362"/>
      <c r="O205" s="362"/>
      <c r="P205" s="362"/>
      <c r="Q205" s="362"/>
      <c r="R205" s="362"/>
      <c r="S205" s="362"/>
      <c r="T205" s="362"/>
      <c r="U205" s="307"/>
    </row>
    <row r="206" spans="1:42" s="263" customFormat="1" ht="15.75" thickBot="1">
      <c r="A206" s="262"/>
      <c r="B206" s="361" t="s">
        <v>96</v>
      </c>
      <c r="C206" s="356"/>
      <c r="D206" s="356" t="s">
        <v>97</v>
      </c>
      <c r="E206" s="356"/>
      <c r="F206" s="356" t="s">
        <v>98</v>
      </c>
      <c r="G206" s="356"/>
      <c r="H206" s="356" t="s">
        <v>99</v>
      </c>
      <c r="I206" s="356"/>
      <c r="J206" s="356" t="s">
        <v>100</v>
      </c>
      <c r="K206" s="356"/>
      <c r="L206" s="356" t="s">
        <v>101</v>
      </c>
      <c r="M206" s="356"/>
      <c r="N206" s="356" t="s">
        <v>102</v>
      </c>
      <c r="O206" s="356"/>
      <c r="P206" s="356" t="s">
        <v>103</v>
      </c>
      <c r="Q206" s="356"/>
      <c r="R206" s="356" t="s">
        <v>104</v>
      </c>
      <c r="S206" s="356"/>
      <c r="T206" s="356" t="s">
        <v>105</v>
      </c>
      <c r="U206" s="356"/>
      <c r="V206" s="356" t="s">
        <v>106</v>
      </c>
      <c r="W206" s="356"/>
      <c r="X206" s="356" t="s">
        <v>107</v>
      </c>
      <c r="Y206" s="357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62" t="s">
        <v>86</v>
      </c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07"/>
    </row>
    <row r="213" spans="1:42" s="263" customFormat="1" ht="15.75" thickBot="1">
      <c r="A213" s="262"/>
      <c r="B213" s="361" t="s">
        <v>96</v>
      </c>
      <c r="C213" s="356"/>
      <c r="D213" s="356" t="s">
        <v>97</v>
      </c>
      <c r="E213" s="356"/>
      <c r="F213" s="356" t="s">
        <v>98</v>
      </c>
      <c r="G213" s="356"/>
      <c r="H213" s="356" t="s">
        <v>99</v>
      </c>
      <c r="I213" s="356"/>
      <c r="J213" s="356" t="s">
        <v>100</v>
      </c>
      <c r="K213" s="356"/>
      <c r="L213" s="356" t="s">
        <v>101</v>
      </c>
      <c r="M213" s="356"/>
      <c r="N213" s="356" t="s">
        <v>102</v>
      </c>
      <c r="O213" s="356"/>
      <c r="P213" s="356" t="s">
        <v>103</v>
      </c>
      <c r="Q213" s="356"/>
      <c r="R213" s="356" t="s">
        <v>104</v>
      </c>
      <c r="S213" s="356"/>
      <c r="T213" s="356" t="s">
        <v>105</v>
      </c>
      <c r="U213" s="356"/>
      <c r="V213" s="356" t="s">
        <v>106</v>
      </c>
      <c r="W213" s="356"/>
      <c r="X213" s="356" t="s">
        <v>107</v>
      </c>
      <c r="Y213" s="357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62" t="s">
        <v>87</v>
      </c>
      <c r="C219" s="362"/>
      <c r="D219" s="362"/>
      <c r="E219" s="362"/>
      <c r="F219" s="362"/>
      <c r="G219" s="362"/>
      <c r="H219" s="362"/>
      <c r="I219" s="362"/>
      <c r="J219" s="362"/>
      <c r="K219" s="362"/>
      <c r="L219" s="362"/>
      <c r="M219" s="362"/>
      <c r="N219" s="362"/>
      <c r="O219" s="362"/>
      <c r="P219" s="362"/>
      <c r="Q219" s="362"/>
      <c r="R219" s="362"/>
      <c r="S219" s="362"/>
      <c r="T219" s="362"/>
      <c r="U219" s="307"/>
    </row>
    <row r="220" spans="1:42" s="263" customFormat="1" ht="15.75" thickBot="1">
      <c r="A220" s="262"/>
      <c r="B220" s="361" t="s">
        <v>96</v>
      </c>
      <c r="C220" s="356"/>
      <c r="D220" s="356" t="s">
        <v>97</v>
      </c>
      <c r="E220" s="356"/>
      <c r="F220" s="356" t="s">
        <v>98</v>
      </c>
      <c r="G220" s="356"/>
      <c r="H220" s="356" t="s">
        <v>99</v>
      </c>
      <c r="I220" s="356"/>
      <c r="J220" s="356" t="s">
        <v>100</v>
      </c>
      <c r="K220" s="356"/>
      <c r="L220" s="356" t="s">
        <v>101</v>
      </c>
      <c r="M220" s="356"/>
      <c r="N220" s="356" t="s">
        <v>102</v>
      </c>
      <c r="O220" s="356"/>
      <c r="P220" s="356" t="s">
        <v>103</v>
      </c>
      <c r="Q220" s="356"/>
      <c r="R220" s="356" t="s">
        <v>104</v>
      </c>
      <c r="S220" s="356"/>
      <c r="T220" s="356" t="s">
        <v>105</v>
      </c>
      <c r="U220" s="356"/>
      <c r="V220" s="356" t="s">
        <v>106</v>
      </c>
      <c r="W220" s="356"/>
      <c r="X220" s="356" t="s">
        <v>107</v>
      </c>
      <c r="Y220" s="357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62" t="s">
        <v>88</v>
      </c>
      <c r="C226" s="362"/>
      <c r="D226" s="362"/>
      <c r="E226" s="362"/>
      <c r="F226" s="362"/>
      <c r="G226" s="362"/>
      <c r="H226" s="362"/>
      <c r="I226" s="362"/>
      <c r="J226" s="362"/>
      <c r="K226" s="362"/>
      <c r="L226" s="362"/>
      <c r="M226" s="362"/>
      <c r="N226" s="362"/>
      <c r="O226" s="362"/>
      <c r="P226" s="362"/>
      <c r="Q226" s="362"/>
      <c r="R226" s="362"/>
      <c r="S226" s="362"/>
      <c r="T226" s="362"/>
      <c r="U226" s="307"/>
    </row>
    <row r="227" spans="1:42" s="263" customFormat="1" ht="15.75" thickBot="1">
      <c r="A227" s="262"/>
      <c r="B227" s="361" t="s">
        <v>96</v>
      </c>
      <c r="C227" s="356"/>
      <c r="D227" s="356" t="s">
        <v>97</v>
      </c>
      <c r="E227" s="356"/>
      <c r="F227" s="356" t="s">
        <v>98</v>
      </c>
      <c r="G227" s="356"/>
      <c r="H227" s="356" t="s">
        <v>99</v>
      </c>
      <c r="I227" s="356"/>
      <c r="J227" s="356" t="s">
        <v>100</v>
      </c>
      <c r="K227" s="356"/>
      <c r="L227" s="356" t="s">
        <v>101</v>
      </c>
      <c r="M227" s="356"/>
      <c r="N227" s="356" t="s">
        <v>102</v>
      </c>
      <c r="O227" s="356"/>
      <c r="P227" s="356" t="s">
        <v>103</v>
      </c>
      <c r="Q227" s="356"/>
      <c r="R227" s="356" t="s">
        <v>104</v>
      </c>
      <c r="S227" s="356"/>
      <c r="T227" s="356" t="s">
        <v>105</v>
      </c>
      <c r="U227" s="356"/>
      <c r="V227" s="356" t="s">
        <v>106</v>
      </c>
      <c r="W227" s="356"/>
      <c r="X227" s="356" t="s">
        <v>107</v>
      </c>
      <c r="Y227" s="357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62" t="s">
        <v>89</v>
      </c>
      <c r="C233" s="362"/>
      <c r="D233" s="362"/>
      <c r="E233" s="362"/>
      <c r="F233" s="362"/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62"/>
      <c r="R233" s="362"/>
      <c r="S233" s="362"/>
      <c r="T233" s="362"/>
      <c r="U233" s="307"/>
    </row>
    <row r="234" spans="1:42" s="263" customFormat="1" ht="15.75" thickBot="1">
      <c r="A234" s="262"/>
      <c r="B234" s="361" t="s">
        <v>96</v>
      </c>
      <c r="C234" s="356"/>
      <c r="D234" s="356" t="s">
        <v>97</v>
      </c>
      <c r="E234" s="356"/>
      <c r="F234" s="356" t="s">
        <v>98</v>
      </c>
      <c r="G234" s="356"/>
      <c r="H234" s="356" t="s">
        <v>99</v>
      </c>
      <c r="I234" s="356"/>
      <c r="J234" s="356" t="s">
        <v>100</v>
      </c>
      <c r="K234" s="356"/>
      <c r="L234" s="356" t="s">
        <v>101</v>
      </c>
      <c r="M234" s="356"/>
      <c r="N234" s="356" t="s">
        <v>102</v>
      </c>
      <c r="O234" s="356"/>
      <c r="P234" s="356" t="s">
        <v>103</v>
      </c>
      <c r="Q234" s="356"/>
      <c r="R234" s="356" t="s">
        <v>104</v>
      </c>
      <c r="S234" s="356"/>
      <c r="T234" s="356" t="s">
        <v>105</v>
      </c>
      <c r="U234" s="356"/>
      <c r="V234" s="356" t="s">
        <v>106</v>
      </c>
      <c r="W234" s="356"/>
      <c r="X234" s="356" t="s">
        <v>107</v>
      </c>
      <c r="Y234" s="357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62" t="s">
        <v>90</v>
      </c>
      <c r="C240" s="362"/>
      <c r="D240" s="362"/>
      <c r="E240" s="362"/>
      <c r="F240" s="362"/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62"/>
      <c r="R240" s="362"/>
      <c r="S240" s="362"/>
      <c r="T240" s="362"/>
      <c r="U240" s="307"/>
    </row>
    <row r="241" spans="1:42" s="263" customFormat="1" ht="15.75" thickBot="1">
      <c r="A241" s="262"/>
      <c r="B241" s="361" t="s">
        <v>96</v>
      </c>
      <c r="C241" s="356"/>
      <c r="D241" s="356" t="s">
        <v>97</v>
      </c>
      <c r="E241" s="356"/>
      <c r="F241" s="356" t="s">
        <v>98</v>
      </c>
      <c r="G241" s="356"/>
      <c r="H241" s="356" t="s">
        <v>99</v>
      </c>
      <c r="I241" s="356"/>
      <c r="J241" s="356" t="s">
        <v>100</v>
      </c>
      <c r="K241" s="356"/>
      <c r="L241" s="356" t="s">
        <v>101</v>
      </c>
      <c r="M241" s="356"/>
      <c r="N241" s="356" t="s">
        <v>102</v>
      </c>
      <c r="O241" s="356"/>
      <c r="P241" s="356" t="s">
        <v>103</v>
      </c>
      <c r="Q241" s="356"/>
      <c r="R241" s="356" t="s">
        <v>104</v>
      </c>
      <c r="S241" s="356"/>
      <c r="T241" s="356" t="s">
        <v>105</v>
      </c>
      <c r="U241" s="356"/>
      <c r="V241" s="356" t="s">
        <v>106</v>
      </c>
      <c r="W241" s="356"/>
      <c r="X241" s="356" t="s">
        <v>107</v>
      </c>
      <c r="Y241" s="357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62" t="s">
        <v>91</v>
      </c>
      <c r="C247" s="362"/>
      <c r="D247" s="362"/>
      <c r="E247" s="362"/>
      <c r="F247" s="362"/>
      <c r="G247" s="362"/>
      <c r="H247" s="362"/>
      <c r="I247" s="362"/>
      <c r="J247" s="362"/>
      <c r="K247" s="362"/>
      <c r="L247" s="362"/>
      <c r="M247" s="362"/>
      <c r="N247" s="362"/>
      <c r="O247" s="362"/>
      <c r="P247" s="362"/>
      <c r="Q247" s="362"/>
      <c r="R247" s="362"/>
      <c r="S247" s="362"/>
      <c r="T247" s="362"/>
      <c r="U247" s="307"/>
    </row>
    <row r="248" spans="1:42" s="263" customFormat="1" ht="15.75" thickBot="1">
      <c r="A248" s="262"/>
      <c r="B248" s="361" t="s">
        <v>96</v>
      </c>
      <c r="C248" s="356"/>
      <c r="D248" s="356" t="s">
        <v>97</v>
      </c>
      <c r="E248" s="356"/>
      <c r="F248" s="356" t="s">
        <v>98</v>
      </c>
      <c r="G248" s="356"/>
      <c r="H248" s="356" t="s">
        <v>99</v>
      </c>
      <c r="I248" s="356"/>
      <c r="J248" s="356" t="s">
        <v>100</v>
      </c>
      <c r="K248" s="356"/>
      <c r="L248" s="356" t="s">
        <v>101</v>
      </c>
      <c r="M248" s="356"/>
      <c r="N248" s="356" t="s">
        <v>102</v>
      </c>
      <c r="O248" s="356"/>
      <c r="P248" s="356" t="s">
        <v>103</v>
      </c>
      <c r="Q248" s="356"/>
      <c r="R248" s="356" t="s">
        <v>104</v>
      </c>
      <c r="S248" s="356"/>
      <c r="T248" s="356" t="s">
        <v>105</v>
      </c>
      <c r="U248" s="356"/>
      <c r="V248" s="356" t="s">
        <v>106</v>
      </c>
      <c r="W248" s="356"/>
      <c r="X248" s="356" t="s">
        <v>107</v>
      </c>
      <c r="Y248" s="357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62" t="s">
        <v>92</v>
      </c>
      <c r="C254" s="362"/>
      <c r="D254" s="362"/>
      <c r="E254" s="362"/>
      <c r="F254" s="362"/>
      <c r="G254" s="362"/>
      <c r="H254" s="362"/>
      <c r="I254" s="362"/>
      <c r="J254" s="362"/>
      <c r="K254" s="362"/>
      <c r="L254" s="362"/>
      <c r="M254" s="362"/>
      <c r="N254" s="362"/>
      <c r="O254" s="362"/>
      <c r="P254" s="362"/>
      <c r="Q254" s="362"/>
      <c r="R254" s="362"/>
      <c r="S254" s="362"/>
      <c r="T254" s="362"/>
    </row>
    <row r="255" spans="1:42" s="263" customFormat="1" ht="15.75" thickBot="1">
      <c r="A255" s="262"/>
      <c r="B255" s="361" t="s">
        <v>96</v>
      </c>
      <c r="C255" s="356"/>
      <c r="D255" s="356" t="s">
        <v>97</v>
      </c>
      <c r="E255" s="356"/>
      <c r="F255" s="356" t="s">
        <v>98</v>
      </c>
      <c r="G255" s="356"/>
      <c r="H255" s="356" t="s">
        <v>99</v>
      </c>
      <c r="I255" s="356"/>
      <c r="J255" s="356" t="s">
        <v>100</v>
      </c>
      <c r="K255" s="356"/>
      <c r="L255" s="356" t="s">
        <v>101</v>
      </c>
      <c r="M255" s="356"/>
      <c r="N255" s="356" t="s">
        <v>102</v>
      </c>
      <c r="O255" s="356"/>
      <c r="P255" s="356" t="s">
        <v>103</v>
      </c>
      <c r="Q255" s="356"/>
      <c r="R255" s="356" t="s">
        <v>104</v>
      </c>
      <c r="S255" s="356"/>
      <c r="T255" s="356" t="s">
        <v>105</v>
      </c>
      <c r="U255" s="356"/>
      <c r="V255" s="356" t="s">
        <v>106</v>
      </c>
      <c r="W255" s="356"/>
      <c r="X255" s="356" t="s">
        <v>107</v>
      </c>
      <c r="Y255" s="357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62" t="s">
        <v>132</v>
      </c>
      <c r="C261" s="362"/>
      <c r="D261" s="362"/>
      <c r="E261" s="362"/>
      <c r="F261" s="362"/>
      <c r="G261" s="362"/>
      <c r="H261" s="362"/>
      <c r="I261" s="362"/>
      <c r="J261" s="362"/>
      <c r="K261" s="362"/>
      <c r="L261" s="362"/>
      <c r="M261" s="362"/>
      <c r="N261" s="362"/>
      <c r="O261" s="362"/>
      <c r="P261" s="362"/>
      <c r="Q261" s="362"/>
      <c r="R261" s="362"/>
      <c r="S261" s="362"/>
      <c r="T261" s="362"/>
    </row>
    <row r="262" spans="1:42" s="263" customFormat="1" ht="15.75" thickBot="1">
      <c r="A262" s="262"/>
      <c r="B262" s="361" t="s">
        <v>96</v>
      </c>
      <c r="C262" s="356"/>
      <c r="D262" s="356" t="s">
        <v>97</v>
      </c>
      <c r="E262" s="356"/>
      <c r="F262" s="356" t="s">
        <v>98</v>
      </c>
      <c r="G262" s="356"/>
      <c r="H262" s="356" t="s">
        <v>99</v>
      </c>
      <c r="I262" s="356"/>
      <c r="J262" s="356" t="s">
        <v>100</v>
      </c>
      <c r="K262" s="356"/>
      <c r="L262" s="356" t="s">
        <v>101</v>
      </c>
      <c r="M262" s="356"/>
      <c r="N262" s="356" t="s">
        <v>102</v>
      </c>
      <c r="O262" s="356"/>
      <c r="P262" s="356" t="s">
        <v>103</v>
      </c>
      <c r="Q262" s="356"/>
      <c r="R262" s="356" t="s">
        <v>104</v>
      </c>
      <c r="S262" s="356"/>
      <c r="T262" s="356" t="s">
        <v>105</v>
      </c>
      <c r="U262" s="356"/>
      <c r="V262" s="356" t="s">
        <v>106</v>
      </c>
      <c r="W262" s="356"/>
      <c r="X262" s="356" t="s">
        <v>107</v>
      </c>
      <c r="Y262" s="357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62" t="s">
        <v>133</v>
      </c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</row>
    <row r="269" spans="1:42" s="263" customFormat="1" ht="15.75" thickBot="1">
      <c r="A269" s="262"/>
      <c r="B269" s="361" t="s">
        <v>96</v>
      </c>
      <c r="C269" s="356"/>
      <c r="D269" s="356" t="s">
        <v>97</v>
      </c>
      <c r="E269" s="356"/>
      <c r="F269" s="356" t="s">
        <v>98</v>
      </c>
      <c r="G269" s="356"/>
      <c r="H269" s="356" t="s">
        <v>99</v>
      </c>
      <c r="I269" s="356"/>
      <c r="J269" s="356" t="s">
        <v>100</v>
      </c>
      <c r="K269" s="356"/>
      <c r="L269" s="356" t="s">
        <v>101</v>
      </c>
      <c r="M269" s="356"/>
      <c r="N269" s="356" t="s">
        <v>102</v>
      </c>
      <c r="O269" s="356"/>
      <c r="P269" s="356" t="s">
        <v>103</v>
      </c>
      <c r="Q269" s="356"/>
      <c r="R269" s="356" t="s">
        <v>104</v>
      </c>
      <c r="S269" s="356"/>
      <c r="T269" s="356" t="s">
        <v>105</v>
      </c>
      <c r="U269" s="356"/>
      <c r="V269" s="356" t="s">
        <v>106</v>
      </c>
      <c r="W269" s="356"/>
      <c r="X269" s="356" t="s">
        <v>107</v>
      </c>
      <c r="Y269" s="357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>
        <f>(E143-E135)/E135*100</f>
        <v>-15.56937681574532</v>
      </c>
      <c r="E270" s="310"/>
      <c r="F270" s="314">
        <f>(G143-G135)/G135*100</f>
        <v>-9.966210331974784</v>
      </c>
      <c r="G270" s="310"/>
      <c r="H270" s="314">
        <f>(I143-I135)/I135*100</f>
        <v>-20.733139469857953</v>
      </c>
      <c r="I270" s="297"/>
      <c r="J270" s="314">
        <f>(K143-K135)/K135*100</f>
        <v>-2.2210572784460907</v>
      </c>
      <c r="K270" s="310"/>
      <c r="L270" s="314">
        <f>(M143-M135)/M135*100</f>
        <v>-4.3270851157605446</v>
      </c>
      <c r="M270" s="310"/>
      <c r="N270" s="314">
        <f>(O143-O135)/O135*100</f>
        <v>2.7730524549670212</v>
      </c>
      <c r="O270" s="310"/>
      <c r="P270" s="314">
        <f>(Q143-Q135)/Q135*100</f>
        <v>0.7244886298708756</v>
      </c>
      <c r="Q270" s="312"/>
      <c r="R270" s="314">
        <f>(S143-S135)/S135*100</f>
        <v>-3.397236063722717</v>
      </c>
      <c r="S270" s="312"/>
      <c r="T270" s="314">
        <f>(U143-U135)/U135*100</f>
        <v>1.420944330126248</v>
      </c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>
        <f>(E144-E136)/E136*100</f>
        <v>-0.9157390629044917</v>
      </c>
      <c r="E271" s="310"/>
      <c r="F271" s="314">
        <f>(G144-G136)/G136*100</f>
        <v>-2.000450262116884</v>
      </c>
      <c r="G271" s="310"/>
      <c r="H271" s="314">
        <f>(I144-I136)/I136*100</f>
        <v>-3.4709879769994707</v>
      </c>
      <c r="I271" s="297"/>
      <c r="J271" s="314">
        <f>(K144-K136)/K136*100</f>
        <v>-10.03580822004627</v>
      </c>
      <c r="K271" s="310"/>
      <c r="L271" s="314">
        <f>(M144-M136)/M136*100</f>
        <v>-5.594636844636849</v>
      </c>
      <c r="M271" s="310"/>
      <c r="N271" s="314">
        <f>(O144-O136)/O136*100</f>
        <v>-6.240994490747274</v>
      </c>
      <c r="O271" s="310"/>
      <c r="P271" s="314">
        <f>(Q144-Q136)/Q136*100</f>
        <v>-2.671539463992296</v>
      </c>
      <c r="Q271" s="312"/>
      <c r="R271" s="314">
        <f>(S144-S136)/S136*100</f>
        <v>-11.215577190542419</v>
      </c>
      <c r="S271" s="312"/>
      <c r="T271" s="314">
        <f>(U144-U136)/U136*100</f>
        <v>-3.3201478503339628</v>
      </c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48">
        <f>(E145-E137)/E137*100</f>
        <v>-8.355828437340111</v>
      </c>
      <c r="E272" s="294"/>
      <c r="F272" s="348">
        <f>(G145-G137)/G137*100</f>
        <v>-6.3672494725307</v>
      </c>
      <c r="G272" s="294"/>
      <c r="H272" s="348">
        <f>(I145-I137)/I137*100</f>
        <v>-12.78887109929613</v>
      </c>
      <c r="I272" s="275"/>
      <c r="J272" s="348">
        <f>(K145-K137)/K137*100</f>
        <v>-6.0251695207447495</v>
      </c>
      <c r="K272" s="294"/>
      <c r="L272" s="348">
        <f>(M145-M137)/M137*100</f>
        <v>-4.763978282464041</v>
      </c>
      <c r="M272" s="294"/>
      <c r="N272" s="348">
        <f>(O145-O137)/O137*100</f>
        <v>-1.3709566757731135</v>
      </c>
      <c r="O272" s="294"/>
      <c r="P272" s="348">
        <f>(Q145-Q137)/Q137*100</f>
        <v>-1.0333617631426082</v>
      </c>
      <c r="Q272" s="313"/>
      <c r="R272" s="348">
        <f>(S145-S137)/S137*100</f>
        <v>-5.041140189596939</v>
      </c>
      <c r="S272" s="313"/>
      <c r="T272" s="348">
        <f>(U145-U137)/U137*100</f>
        <v>-0.506570736362959</v>
      </c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>
        <f>(E146-E138)/E138*100</f>
        <v>-15.41197391819799</v>
      </c>
      <c r="E273" s="310"/>
      <c r="F273" s="314">
        <f>(G146-G138)/G138*100</f>
        <v>-0.7340241796200419</v>
      </c>
      <c r="G273" s="310"/>
      <c r="H273" s="314">
        <f>(I146-I138)/I138*100</f>
        <v>-5.250564934201785</v>
      </c>
      <c r="I273" s="297"/>
      <c r="J273" s="314">
        <f>(K146-K138)/K138*100</f>
        <v>-3.8432364096080813</v>
      </c>
      <c r="K273" s="310"/>
      <c r="L273" s="314">
        <f>(M146-M138)/M138*100</f>
        <v>-2.6702100733991387</v>
      </c>
      <c r="M273" s="310"/>
      <c r="N273" s="314">
        <f>(O146-O138)/O138*100</f>
        <v>-1.3708781030011108</v>
      </c>
      <c r="O273" s="310"/>
      <c r="P273" s="314">
        <f>(Q146-Q138)/Q138*100</f>
        <v>-1.0313216195569166</v>
      </c>
      <c r="Q273" s="312"/>
      <c r="R273" s="314">
        <f>(S146-S138)/S138*100</f>
        <v>-3.035669112066792</v>
      </c>
      <c r="S273" s="312"/>
      <c r="T273" s="314">
        <f>(U146-U138)/U138*100</f>
        <v>3.9601256315717484</v>
      </c>
      <c r="U273" s="312"/>
      <c r="V273" s="314"/>
      <c r="W273" s="312"/>
      <c r="X273" s="314"/>
      <c r="Y273" s="312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A1">
      <selection activeCell="A43" sqref="A43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71" t="s">
        <v>20</v>
      </c>
      <c r="C4" s="371"/>
      <c r="D4" s="371" t="s">
        <v>21</v>
      </c>
      <c r="E4" s="371"/>
      <c r="F4" s="370">
        <v>2003</v>
      </c>
      <c r="G4" s="370"/>
      <c r="H4" s="370">
        <v>2004</v>
      </c>
      <c r="I4" s="370"/>
      <c r="J4" s="370">
        <v>2005</v>
      </c>
      <c r="K4" s="370"/>
      <c r="L4" s="370">
        <v>2006</v>
      </c>
      <c r="M4" s="370"/>
      <c r="N4" s="370">
        <v>2007</v>
      </c>
      <c r="O4" s="370"/>
      <c r="P4" s="370">
        <v>2008</v>
      </c>
      <c r="Q4" s="370"/>
      <c r="R4" s="370">
        <v>2009</v>
      </c>
      <c r="S4" s="370"/>
      <c r="T4" s="370">
        <v>2010</v>
      </c>
      <c r="U4" s="370"/>
      <c r="V4" s="370">
        <v>2011</v>
      </c>
      <c r="W4" s="370"/>
      <c r="X4" s="370" t="s">
        <v>123</v>
      </c>
      <c r="Y4" s="370"/>
      <c r="Z4" s="370" t="s">
        <v>124</v>
      </c>
      <c r="AA4" s="370"/>
      <c r="AB4" s="370" t="s">
        <v>125</v>
      </c>
      <c r="AC4" s="370"/>
      <c r="AD4" s="370" t="s">
        <v>126</v>
      </c>
      <c r="AE4" s="370"/>
      <c r="AF4" s="370">
        <v>2016</v>
      </c>
      <c r="AG4" s="370"/>
      <c r="AH4" s="370">
        <v>2017</v>
      </c>
      <c r="AI4" s="370"/>
      <c r="AJ4" s="370">
        <v>2018</v>
      </c>
      <c r="AK4" s="370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1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 aca="true" t="shared" si="3" ref="BB7:BB16"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1">
        <f>+AK8*Index!$B$13</f>
        <v>30.8439398</v>
      </c>
      <c r="AK8" s="71">
        <v>52.7</v>
      </c>
      <c r="AL8" s="88">
        <f aca="true" t="shared" si="4" ref="AL8:AL18">(E8-C8)/C8*100</f>
        <v>-0.6872852233677085</v>
      </c>
      <c r="AM8" s="88">
        <f aca="true" t="shared" si="5" ref="AM8:AM18">(G8-E8)/E8*100</f>
        <v>8.743944636678215</v>
      </c>
      <c r="AN8" s="88">
        <f aca="true" t="shared" si="6" ref="AN8:AN18">(I8-G8)/G8*100</f>
        <v>-19.142775320584203</v>
      </c>
      <c r="AO8" s="88">
        <f aca="true" t="shared" si="7" ref="AO8:AO18">(K8-I8)/I8*100</f>
        <v>-7.61506434221401</v>
      </c>
      <c r="AP8" s="88">
        <f aca="true" t="shared" si="8" ref="AP8:AP18">(M8-K8)/K8*100</f>
        <v>-1.7228365250271505</v>
      </c>
      <c r="AQ8" s="88">
        <f aca="true" t="shared" si="9" ref="AQ8:AQ18">(O8-M8)/M8*100</f>
        <v>-2.249517196206388</v>
      </c>
      <c r="AR8" s="88">
        <f aca="true" t="shared" si="10" ref="AR8:AR16">(Q8-O8)/O8*100</f>
        <v>5.458769480164212</v>
      </c>
      <c r="AS8" s="88">
        <f aca="true" t="shared" si="11" ref="AS8:AS18">(S8-Q8)/Q8*100</f>
        <v>-10.750514357100927</v>
      </c>
      <c r="AT8" s="88">
        <f aca="true" t="shared" si="12" ref="AT8:AT18">(U8-S8)/S8*100</f>
        <v>-6.440569844459594</v>
      </c>
      <c r="AU8" s="88">
        <f aca="true" t="shared" si="13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4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>
        <f t="shared" si="3"/>
        <v>13.09012875536481</v>
      </c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1">
        <f>+AK9*Index!$B$13</f>
        <v>64.38014</v>
      </c>
      <c r="AK9" s="71">
        <v>110</v>
      </c>
      <c r="AL9" s="88">
        <f t="shared" si="4"/>
        <v>18.913480885311866</v>
      </c>
      <c r="AM9" s="88">
        <f t="shared" si="5"/>
        <v>-35.98646362098138</v>
      </c>
      <c r="AN9" s="88">
        <f t="shared" si="6"/>
        <v>11.159864664833993</v>
      </c>
      <c r="AO9" s="88">
        <f t="shared" si="7"/>
        <v>13.189387454225518</v>
      </c>
      <c r="AP9" s="88">
        <f t="shared" si="8"/>
        <v>-18.287523924298117</v>
      </c>
      <c r="AQ9" s="88">
        <f t="shared" si="9"/>
        <v>3.069749490444745</v>
      </c>
      <c r="AR9" s="88">
        <f t="shared" si="10"/>
        <v>-1.7248674746933974</v>
      </c>
      <c r="AS9" s="88">
        <f t="shared" si="11"/>
        <v>-14.794158061047208</v>
      </c>
      <c r="AT9" s="88">
        <f t="shared" si="12"/>
        <v>14.319268295000473</v>
      </c>
      <c r="AU9" s="88">
        <f t="shared" si="13"/>
        <v>1.338813026309837</v>
      </c>
      <c r="AV9" s="88">
        <f t="shared" si="0"/>
        <v>-5.921279688598284</v>
      </c>
      <c r="AW9" s="86">
        <f aca="true" t="shared" si="15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>
        <f t="shared" si="3"/>
        <v>27.75842044134728</v>
      </c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1">
        <f>+AK10*Index!$B$13</f>
        <v>106.1687036</v>
      </c>
      <c r="AK10" s="71">
        <v>181.4</v>
      </c>
      <c r="AL10" s="88">
        <f t="shared" si="4"/>
        <v>-14.349276974416028</v>
      </c>
      <c r="AM10" s="88">
        <f t="shared" si="5"/>
        <v>-12.912987012987012</v>
      </c>
      <c r="AN10" s="88">
        <f t="shared" si="6"/>
        <v>7.471255797306764</v>
      </c>
      <c r="AO10" s="88">
        <f t="shared" si="7"/>
        <v>-14.020493429725109</v>
      </c>
      <c r="AP10" s="88">
        <f t="shared" si="8"/>
        <v>20.16300379722682</v>
      </c>
      <c r="AQ10" s="88">
        <f t="shared" si="9"/>
        <v>-2.7978915935835285</v>
      </c>
      <c r="AR10" s="88">
        <f t="shared" si="10"/>
        <v>-12.846774647434827</v>
      </c>
      <c r="AS10" s="88">
        <f t="shared" si="11"/>
        <v>-0.3109601528121102</v>
      </c>
      <c r="AT10" s="88">
        <f t="shared" si="12"/>
        <v>-17.119098847370577</v>
      </c>
      <c r="AU10" s="88">
        <f t="shared" si="13"/>
        <v>53.51762961309168</v>
      </c>
      <c r="AV10" s="88">
        <f t="shared" si="0"/>
        <v>-16.134225228719092</v>
      </c>
      <c r="AW10" s="88">
        <f t="shared" si="15"/>
        <v>-3.700930579668137</v>
      </c>
      <c r="AX10" s="88">
        <f t="shared" si="14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>
        <f t="shared" si="3"/>
        <v>-4.3248945147679265</v>
      </c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71">
        <f>+AK11*Index!$B$13</f>
        <v>172.48024779999997</v>
      </c>
      <c r="AK11" s="67">
        <v>294.7</v>
      </c>
      <c r="AL11" s="88">
        <f t="shared" si="4"/>
        <v>-14.090582314881386</v>
      </c>
      <c r="AM11" s="88">
        <f t="shared" si="5"/>
        <v>-22.579079497907948</v>
      </c>
      <c r="AN11" s="88">
        <f t="shared" si="6"/>
        <v>7.52826477009879</v>
      </c>
      <c r="AO11" s="88">
        <f t="shared" si="7"/>
        <v>5.935084386277062</v>
      </c>
      <c r="AP11" s="88">
        <f t="shared" si="8"/>
        <v>6.144462241216677</v>
      </c>
      <c r="AQ11" s="88">
        <f t="shared" si="9"/>
        <v>7.055206664651767</v>
      </c>
      <c r="AR11" s="88">
        <f t="shared" si="10"/>
        <v>-6.502622470114357</v>
      </c>
      <c r="AS11" s="88">
        <f t="shared" si="11"/>
        <v>-17.337428055234362</v>
      </c>
      <c r="AT11" s="88">
        <f t="shared" si="12"/>
        <v>4.190105379624676</v>
      </c>
      <c r="AU11" s="88">
        <f t="shared" si="13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4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>
        <f t="shared" si="3"/>
        <v>1.097770154373924</v>
      </c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71">
        <f>+AK12*Index!$B$13</f>
        <v>209.35250979999998</v>
      </c>
      <c r="AK12" s="67">
        <v>357.7</v>
      </c>
      <c r="AL12" s="88">
        <f t="shared" si="4"/>
        <v>-11.48792884371029</v>
      </c>
      <c r="AM12" s="88">
        <f t="shared" si="5"/>
        <v>-17.60863635711107</v>
      </c>
      <c r="AN12" s="88">
        <f t="shared" si="6"/>
        <v>-4.779328489537055</v>
      </c>
      <c r="AO12" s="88">
        <f t="shared" si="7"/>
        <v>3.681299176578231</v>
      </c>
      <c r="AP12" s="88">
        <f t="shared" si="8"/>
        <v>3.8368166012287355</v>
      </c>
      <c r="AQ12" s="88">
        <f t="shared" si="9"/>
        <v>3.1809471643393894</v>
      </c>
      <c r="AR12" s="88">
        <f t="shared" si="10"/>
        <v>10.66782930840983</v>
      </c>
      <c r="AS12" s="88">
        <f t="shared" si="11"/>
        <v>-23.616081496655873</v>
      </c>
      <c r="AT12" s="88">
        <f t="shared" si="12"/>
        <v>11.371260194531626</v>
      </c>
      <c r="AU12" s="88">
        <f t="shared" si="13"/>
        <v>12.630343386090276</v>
      </c>
      <c r="AV12" s="88">
        <f t="shared" si="0"/>
        <v>15.677180804450177</v>
      </c>
      <c r="AW12" s="88">
        <f t="shared" si="15"/>
        <v>2.1003773406623614</v>
      </c>
      <c r="AX12" s="88">
        <f t="shared" si="14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>
        <f t="shared" si="3"/>
        <v>3.024193548387097</v>
      </c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71">
        <f>+AK13*Index!$B$13</f>
        <v>249.6778884</v>
      </c>
      <c r="AK13" s="67">
        <v>426.6</v>
      </c>
      <c r="AL13" s="88">
        <f t="shared" si="4"/>
        <v>-16.302400200016667</v>
      </c>
      <c r="AM13" s="88">
        <f t="shared" si="5"/>
        <v>-5.144816598832494</v>
      </c>
      <c r="AN13" s="88">
        <f t="shared" si="6"/>
        <v>-11.362756611708532</v>
      </c>
      <c r="AO13" s="88">
        <f t="shared" si="7"/>
        <v>3.701345166543308</v>
      </c>
      <c r="AP13" s="88">
        <f t="shared" si="8"/>
        <v>10.645645687327416</v>
      </c>
      <c r="AQ13" s="88">
        <f t="shared" si="9"/>
        <v>8.460670049983914</v>
      </c>
      <c r="AR13" s="88">
        <f t="shared" si="10"/>
        <v>-4.995678430334226</v>
      </c>
      <c r="AS13" s="88">
        <f t="shared" si="11"/>
        <v>-14.796648508406388</v>
      </c>
      <c r="AT13" s="88">
        <f t="shared" si="12"/>
        <v>-0.6151929229628006</v>
      </c>
      <c r="AU13" s="88">
        <f t="shared" si="13"/>
        <v>18.753933659713738</v>
      </c>
      <c r="AV13" s="88">
        <f t="shared" si="0"/>
        <v>9.874502669363576</v>
      </c>
      <c r="AW13" s="88">
        <f t="shared" si="15"/>
        <v>12.288394168895604</v>
      </c>
      <c r="AX13" s="88">
        <f t="shared" si="14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>
        <f t="shared" si="3"/>
        <v>0.21141649048626596</v>
      </c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71">
        <f>+AK14*Index!$B$13</f>
        <v>250.6143268</v>
      </c>
      <c r="AK14" s="67">
        <v>428.2</v>
      </c>
      <c r="AL14" s="88">
        <f t="shared" si="4"/>
        <v>-24.978532396565182</v>
      </c>
      <c r="AM14" s="88">
        <f t="shared" si="5"/>
        <v>7.498504201243458</v>
      </c>
      <c r="AN14" s="88">
        <f t="shared" si="6"/>
        <v>-10.402071460549088</v>
      </c>
      <c r="AO14" s="88">
        <f t="shared" si="7"/>
        <v>8.923734638757585</v>
      </c>
      <c r="AP14" s="88">
        <f t="shared" si="8"/>
        <v>-3.9140630835303405</v>
      </c>
      <c r="AQ14" s="88">
        <f t="shared" si="9"/>
        <v>15.529582807617132</v>
      </c>
      <c r="AR14" s="88">
        <f t="shared" si="10"/>
        <v>-9.137571124791766</v>
      </c>
      <c r="AS14" s="88">
        <f t="shared" si="11"/>
        <v>-15.556082568670032</v>
      </c>
      <c r="AT14" s="88">
        <f t="shared" si="12"/>
        <v>2.6979630375616126</v>
      </c>
      <c r="AU14" s="88">
        <f t="shared" si="13"/>
        <v>10.744341473791161</v>
      </c>
      <c r="AV14" s="88">
        <f t="shared" si="0"/>
        <v>16.886705276464163</v>
      </c>
      <c r="AW14" s="88">
        <f t="shared" si="15"/>
        <v>11.988799523173963</v>
      </c>
      <c r="AX14" s="88">
        <f t="shared" si="14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>
        <f t="shared" si="3"/>
        <v>1.0859301227573102</v>
      </c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71">
        <f>+AK15*Index!$B$13</f>
        <v>221.7017912</v>
      </c>
      <c r="AK15" s="67">
        <v>378.8</v>
      </c>
      <c r="AL15" s="88">
        <f t="shared" si="4"/>
        <v>-10.740215541690292</v>
      </c>
      <c r="AM15" s="88">
        <f t="shared" si="5"/>
        <v>-14.781558796428687</v>
      </c>
      <c r="AN15" s="88">
        <f t="shared" si="6"/>
        <v>5.291415617729508</v>
      </c>
      <c r="AO15" s="88">
        <f t="shared" si="7"/>
        <v>-2.3385022096317143</v>
      </c>
      <c r="AP15" s="88">
        <f t="shared" si="8"/>
        <v>2.1847658109281394</v>
      </c>
      <c r="AQ15" s="88">
        <f t="shared" si="9"/>
        <v>9.255074473221278</v>
      </c>
      <c r="AR15" s="88">
        <f t="shared" si="10"/>
        <v>-5.949902040377706</v>
      </c>
      <c r="AS15" s="88">
        <f t="shared" si="11"/>
        <v>-19.05705211536969</v>
      </c>
      <c r="AT15" s="88">
        <f t="shared" si="12"/>
        <v>10.124764841057528</v>
      </c>
      <c r="AU15" s="88">
        <f t="shared" si="13"/>
        <v>6.925611128966458</v>
      </c>
      <c r="AV15" s="88">
        <f t="shared" si="0"/>
        <v>22.931454068671194</v>
      </c>
      <c r="AW15" s="88">
        <f t="shared" si="15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>
        <f t="shared" si="3"/>
        <v>2.102425876010785</v>
      </c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71">
        <f>+AK16*Index!$B$13</f>
        <v>171.9535012</v>
      </c>
      <c r="AK16" s="67">
        <v>293.8</v>
      </c>
      <c r="AL16" s="88">
        <f t="shared" si="4"/>
        <v>-1.6597542242703527</v>
      </c>
      <c r="AM16" s="88">
        <f t="shared" si="5"/>
        <v>-12.20097001694795</v>
      </c>
      <c r="AN16" s="88">
        <f t="shared" si="6"/>
        <v>3.098285846446712</v>
      </c>
      <c r="AO16" s="88">
        <f t="shared" si="7"/>
        <v>3.947313201035376</v>
      </c>
      <c r="AP16" s="88">
        <f t="shared" si="8"/>
        <v>1.9788431346417141</v>
      </c>
      <c r="AQ16" s="88">
        <f t="shared" si="9"/>
        <v>-1.7242700421668946</v>
      </c>
      <c r="AR16" s="88">
        <f t="shared" si="10"/>
        <v>-3.7283501322464128</v>
      </c>
      <c r="AS16" s="88">
        <f t="shared" si="11"/>
        <v>-21.31969603770069</v>
      </c>
      <c r="AT16" s="88">
        <f t="shared" si="12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5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>
        <f t="shared" si="3"/>
        <v>6.026705160591839</v>
      </c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4"/>
        <v>5.344262295081979</v>
      </c>
      <c r="AM17" s="88">
        <f t="shared" si="5"/>
        <v>-5.327964519140996</v>
      </c>
      <c r="AN17" s="88">
        <f t="shared" si="6"/>
        <v>-11.442602067024168</v>
      </c>
      <c r="AO17" s="88">
        <f t="shared" si="7"/>
        <v>0.012951276102075098</v>
      </c>
      <c r="AP17" s="88">
        <f t="shared" si="8"/>
        <v>-12.738663405588627</v>
      </c>
      <c r="AQ17" s="88">
        <f t="shared" si="9"/>
        <v>5.455839152697108</v>
      </c>
      <c r="AR17" s="88">
        <f>(Q17-O17)/O17*100</f>
        <v>6.814525595614295</v>
      </c>
      <c r="AS17" s="88">
        <f t="shared" si="11"/>
        <v>-15.732394665424259</v>
      </c>
      <c r="AT17" s="88">
        <f t="shared" si="12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5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4"/>
        <v>22.780821917808222</v>
      </c>
      <c r="AM18" s="88">
        <f t="shared" si="5"/>
        <v>-8.286845922124279</v>
      </c>
      <c r="AN18" s="88">
        <f t="shared" si="6"/>
        <v>-12.411423010249086</v>
      </c>
      <c r="AO18" s="88">
        <f t="shared" si="7"/>
        <v>5.332590277777768</v>
      </c>
      <c r="AP18" s="88">
        <f t="shared" si="8"/>
        <v>-5.200320176309259</v>
      </c>
      <c r="AQ18" s="88">
        <f t="shared" si="9"/>
        <v>4.539222653078643</v>
      </c>
      <c r="AR18" s="88">
        <f>(Q18-O18)/O18*100</f>
        <v>0.42333772677733467</v>
      </c>
      <c r="AS18" s="88">
        <f t="shared" si="11"/>
        <v>-17.27304243257525</v>
      </c>
      <c r="AT18" s="88">
        <f t="shared" si="12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5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6" ref="B19:L19">SUM(B7:B18)</f>
        <v>1271.544</v>
      </c>
      <c r="C19" s="76">
        <f>+B19/Index!$B$13</f>
        <v>2172.5619111732285</v>
      </c>
      <c r="D19" s="76">
        <f t="shared" si="16"/>
        <v>1132.532</v>
      </c>
      <c r="E19" s="76">
        <f>+D19/Index!$B$13</f>
        <v>1935.0458076046432</v>
      </c>
      <c r="F19" s="76">
        <f t="shared" si="16"/>
        <v>1015.043</v>
      </c>
      <c r="G19" s="76">
        <f>+F19/Index!$B$13</f>
        <v>1734.303932858798</v>
      </c>
      <c r="H19" s="76">
        <f t="shared" si="16"/>
        <v>982.3009999999999</v>
      </c>
      <c r="I19" s="76">
        <f>+H19/Index!$B$13</f>
        <v>1678.360904465259</v>
      </c>
      <c r="J19" s="77">
        <f t="shared" si="16"/>
        <v>1005.6773592000001</v>
      </c>
      <c r="K19" s="76">
        <f>+J19/Index!$B$13</f>
        <v>1718.3017854885065</v>
      </c>
      <c r="L19" s="76">
        <f t="shared" si="16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7" ref="P19:AF19">SUM(P7:P18)</f>
        <v>1049.2716203938219</v>
      </c>
      <c r="Q19" s="76">
        <f t="shared" si="17"/>
        <v>1792.787003</v>
      </c>
      <c r="R19" s="76">
        <f t="shared" si="17"/>
        <v>873.9582519591461</v>
      </c>
      <c r="S19" s="76">
        <f t="shared" si="17"/>
        <v>1493.246329</v>
      </c>
      <c r="T19" s="76">
        <f t="shared" si="17"/>
        <v>907.0581260611185</v>
      </c>
      <c r="U19" s="76">
        <f t="shared" si="17"/>
        <v>1549.8008216</v>
      </c>
      <c r="V19" s="76">
        <f t="shared" si="17"/>
        <v>1023.8231227845959</v>
      </c>
      <c r="W19" s="76">
        <f t="shared" si="17"/>
        <v>1749.3056633040178</v>
      </c>
      <c r="X19" s="76">
        <f t="shared" si="17"/>
        <v>1128.2061352772917</v>
      </c>
      <c r="Y19" s="76">
        <f t="shared" si="17"/>
        <v>1927.6546289042258</v>
      </c>
      <c r="Z19" s="78">
        <f t="shared" si="17"/>
        <v>1218.7745776</v>
      </c>
      <c r="AA19" s="78">
        <f t="shared" si="17"/>
        <v>2082.4</v>
      </c>
      <c r="AB19" s="78">
        <f t="shared" si="17"/>
        <v>1184.2434115999997</v>
      </c>
      <c r="AC19" s="78">
        <f t="shared" si="17"/>
        <v>2023.3999999999999</v>
      </c>
      <c r="AD19" s="78">
        <f t="shared" si="17"/>
        <v>1236.1572154</v>
      </c>
      <c r="AE19" s="78">
        <f t="shared" si="17"/>
        <v>2112.1</v>
      </c>
      <c r="AF19" s="78">
        <f t="shared" si="17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8" ref="C23:AE23">C7</f>
        <v>42.54417589026678</v>
      </c>
      <c r="D23" s="85">
        <f t="shared" si="18"/>
        <v>21.6</v>
      </c>
      <c r="E23" s="85">
        <f t="shared" si="18"/>
        <v>36.90579113372541</v>
      </c>
      <c r="F23" s="85">
        <f t="shared" si="18"/>
        <v>25.639</v>
      </c>
      <c r="G23" s="85">
        <f t="shared" si="18"/>
        <v>43.806832355443774</v>
      </c>
      <c r="H23" s="85">
        <f t="shared" si="18"/>
        <v>21.786</v>
      </c>
      <c r="I23" s="85">
        <f t="shared" si="18"/>
        <v>37.223591001821376</v>
      </c>
      <c r="J23" s="85">
        <f t="shared" si="18"/>
        <v>20.69594</v>
      </c>
      <c r="K23" s="85">
        <f t="shared" si="18"/>
        <v>35.36111291463486</v>
      </c>
      <c r="L23" s="85">
        <f t="shared" si="18"/>
        <v>21.185591</v>
      </c>
      <c r="M23" s="85">
        <f t="shared" si="18"/>
        <v>36.19773131900614</v>
      </c>
      <c r="N23" s="85">
        <f t="shared" si="18"/>
        <v>19.689278</v>
      </c>
      <c r="O23" s="85">
        <f t="shared" si="18"/>
        <v>33.641128770456234</v>
      </c>
      <c r="P23" s="85">
        <f t="shared" si="18"/>
        <v>20.646150205507997</v>
      </c>
      <c r="Q23" s="85">
        <f t="shared" si="18"/>
        <v>35.276042</v>
      </c>
      <c r="R23" s="85">
        <f t="shared" si="18"/>
        <v>18.260763010284</v>
      </c>
      <c r="S23" s="85">
        <f t="shared" si="18"/>
        <v>31.200366</v>
      </c>
      <c r="T23" s="85">
        <f t="shared" si="18"/>
        <v>17.358754523882</v>
      </c>
      <c r="U23" s="85">
        <f t="shared" si="18"/>
        <v>29.659193</v>
      </c>
      <c r="V23" s="85">
        <f t="shared" si="18"/>
        <v>17.426307434235998</v>
      </c>
      <c r="W23" s="85">
        <f t="shared" si="18"/>
        <v>29.774614</v>
      </c>
      <c r="X23" s="85">
        <f>X7</f>
        <v>17.55822</v>
      </c>
      <c r="Y23" s="85">
        <f t="shared" si="18"/>
        <v>30</v>
      </c>
      <c r="Z23" s="85">
        <f t="shared" si="18"/>
        <v>18.084966599999998</v>
      </c>
      <c r="AA23" s="86">
        <f t="shared" si="18"/>
        <v>30.9</v>
      </c>
      <c r="AB23" s="85">
        <f t="shared" si="18"/>
        <v>17.9679118</v>
      </c>
      <c r="AC23" s="85">
        <f t="shared" si="18"/>
        <v>30.7</v>
      </c>
      <c r="AD23" s="85">
        <f t="shared" si="18"/>
        <v>16.6217816</v>
      </c>
      <c r="AE23" s="85">
        <f t="shared" si="18"/>
        <v>28.4</v>
      </c>
      <c r="AF23" s="85">
        <f aca="true" t="shared" si="19" ref="AF23:AK23">AF7</f>
        <v>17.0314734</v>
      </c>
      <c r="AG23" s="85">
        <f t="shared" si="19"/>
        <v>29.1</v>
      </c>
      <c r="AH23" s="85">
        <f t="shared" si="19"/>
        <v>20.718699599999997</v>
      </c>
      <c r="AI23" s="85">
        <f t="shared" si="19"/>
        <v>35.4</v>
      </c>
      <c r="AJ23" s="85">
        <f t="shared" si="19"/>
        <v>22.4745216</v>
      </c>
      <c r="AK23" s="85">
        <f t="shared" si="19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20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1" ref="AX23:AX33">(AC23-AA23)/AA23*100</f>
        <v>-0.647249190938509</v>
      </c>
      <c r="AY23" s="88">
        <f aca="true" t="shared" si="22" ref="AY23:AY33">(AE23-AC23)/AC23*100</f>
        <v>-7.4918566775244315</v>
      </c>
      <c r="AZ23" s="88">
        <f aca="true" t="shared" si="23" ref="AZ23:AZ34">(AG23-AE23)/AE23*100</f>
        <v>2.4647887323943762</v>
      </c>
      <c r="BA23" s="88">
        <f aca="true" t="shared" si="24" ref="BA23:BB33">(AI23-AG23)/AG23*100</f>
        <v>21.649484536082465</v>
      </c>
      <c r="BB23" s="88">
        <f t="shared" si="24"/>
        <v>8.474576271186452</v>
      </c>
    </row>
    <row r="24" spans="1:54" ht="15">
      <c r="A24" s="66" t="s">
        <v>40</v>
      </c>
      <c r="B24" s="85">
        <f aca="true" t="shared" si="25" ref="B24:B34">B23+B8</f>
        <v>54</v>
      </c>
      <c r="C24" s="68">
        <f>+B24/Index!$B$13</f>
        <v>92.26447783431351</v>
      </c>
      <c r="D24" s="85">
        <f aca="true" t="shared" si="26" ref="D24:D34">D23+D8</f>
        <v>50.5</v>
      </c>
      <c r="E24" s="68">
        <f>+D24/Index!$B$13</f>
        <v>86.28437278949689</v>
      </c>
      <c r="F24" s="87">
        <f aca="true" t="shared" si="27" ref="F24:F34">F23+F8</f>
        <v>57.066</v>
      </c>
      <c r="G24" s="68">
        <f>+F24/Index!$B$13</f>
        <v>97.50304985357286</v>
      </c>
      <c r="H24" s="87">
        <f aca="true" t="shared" si="28" ref="H24:H34">H23+H8</f>
        <v>47.197</v>
      </c>
      <c r="I24" s="68">
        <f>+H24/Index!$B$13</f>
        <v>80.64086222863139</v>
      </c>
      <c r="J24" s="87">
        <f aca="true" t="shared" si="29" ref="J24:J34">J23+J8</f>
        <v>44.171876</v>
      </c>
      <c r="K24" s="68">
        <f>+J24/Index!$B$13</f>
        <v>75.47213100188971</v>
      </c>
      <c r="L24" s="87">
        <f aca="true" t="shared" si="30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1" ref="P24:V24">(P8+P7)</f>
        <v>44.42972548288199</v>
      </c>
      <c r="Q24" s="73">
        <f t="shared" si="31"/>
        <v>75.91269299999999</v>
      </c>
      <c r="R24" s="73">
        <f t="shared" si="31"/>
        <v>39.487481612832</v>
      </c>
      <c r="S24" s="73">
        <f>(S8+S7)</f>
        <v>67.468368</v>
      </c>
      <c r="T24" s="73">
        <f t="shared" si="31"/>
        <v>37.218351489146</v>
      </c>
      <c r="U24" s="73">
        <f t="shared" si="31"/>
        <v>63.591329</v>
      </c>
      <c r="V24" s="73">
        <f t="shared" si="31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2" ref="AA24:AK24">AA8+AA7</f>
        <v>59.2</v>
      </c>
      <c r="AB24" s="88">
        <f t="shared" si="32"/>
        <v>36.286987999999994</v>
      </c>
      <c r="AC24" s="88">
        <f t="shared" si="32"/>
        <v>62</v>
      </c>
      <c r="AD24" s="88">
        <f t="shared" si="32"/>
        <v>34.70674819999999</v>
      </c>
      <c r="AE24" s="88">
        <f t="shared" si="32"/>
        <v>59.3</v>
      </c>
      <c r="AF24" s="88">
        <f>AF8+AF7</f>
        <v>39.0377758</v>
      </c>
      <c r="AG24" s="88">
        <f t="shared" si="32"/>
        <v>66.7</v>
      </c>
      <c r="AH24" s="88">
        <f t="shared" si="32"/>
        <v>47.992467999999995</v>
      </c>
      <c r="AI24" s="88">
        <f t="shared" si="32"/>
        <v>82</v>
      </c>
      <c r="AJ24" s="88">
        <f t="shared" si="32"/>
        <v>53.318461400000004</v>
      </c>
      <c r="AK24" s="88">
        <f t="shared" si="32"/>
        <v>91.1</v>
      </c>
      <c r="AL24" s="88">
        <f aca="true" t="shared" si="33" ref="AL24:AL33">(E24-C24)/C24*100</f>
        <v>-6.481481481481491</v>
      </c>
      <c r="AM24" s="88">
        <f aca="true" t="shared" si="34" ref="AM24:AM33">(G24-E24)/E24*100</f>
        <v>13.001980198019808</v>
      </c>
      <c r="AN24" s="88">
        <f aca="true" t="shared" si="35" ref="AN24:AN33">(I24-G24)/G24*100</f>
        <v>-17.29401044404723</v>
      </c>
      <c r="AO24" s="88">
        <f aca="true" t="shared" si="36" ref="AO24:AO33">(K24-I24)/I24*100</f>
        <v>-6.409568404771515</v>
      </c>
      <c r="AP24" s="88">
        <f aca="true" t="shared" si="37" ref="AP24:AP33">(M24-K24)/K24*100</f>
        <v>0.1928806465000638</v>
      </c>
      <c r="AQ24" s="88">
        <f aca="true" t="shared" si="38" ref="AQ24:AQ33">(O24-M24)/M24*100</f>
        <v>-4.553601824580407</v>
      </c>
      <c r="AR24" s="88">
        <f aca="true" t="shared" si="39" ref="AR24:AS33">(Q24-O24)/O24*100</f>
        <v>5.17956688637437</v>
      </c>
      <c r="AS24" s="88">
        <f t="shared" si="39"/>
        <v>-11.123732627954574</v>
      </c>
      <c r="AT24" s="88">
        <f t="shared" si="20"/>
        <v>-5.74645439771123</v>
      </c>
      <c r="AU24" s="88">
        <f aca="true" t="shared" si="40" ref="AU24:AU33">(W24-U24)/U24*100</f>
        <v>4.873085762997659</v>
      </c>
      <c r="AV24" s="88">
        <f aca="true" t="shared" si="41" ref="AV24:AV33">(Y24-W24)/W24*100</f>
        <v>-6.582960801025779</v>
      </c>
      <c r="AW24" s="88">
        <f aca="true" t="shared" si="42" ref="AW24:AW32">(AA24-Y24)/Y24*100</f>
        <v>-4.975922953451035</v>
      </c>
      <c r="AX24" s="88">
        <f t="shared" si="21"/>
        <v>4.7297297297297245</v>
      </c>
      <c r="AY24" s="88">
        <f t="shared" si="22"/>
        <v>-4.354838709677424</v>
      </c>
      <c r="AZ24" s="88">
        <f t="shared" si="23"/>
        <v>12.478920741989892</v>
      </c>
      <c r="BA24" s="88">
        <f t="shared" si="24"/>
        <v>22.93853073463268</v>
      </c>
      <c r="BB24" s="88">
        <f aca="true" t="shared" si="43" ref="BB24:BB32">(AJ24-AH24)/AH24*100</f>
        <v>11.097560975609776</v>
      </c>
    </row>
    <row r="25" spans="1:54" ht="15">
      <c r="A25" s="66" t="s">
        <v>41</v>
      </c>
      <c r="B25" s="85">
        <f t="shared" si="25"/>
        <v>103.7</v>
      </c>
      <c r="C25" s="68">
        <f>+B25/Index!$B$13</f>
        <v>177.18196947070948</v>
      </c>
      <c r="D25" s="85">
        <f t="shared" si="26"/>
        <v>109.6</v>
      </c>
      <c r="E25" s="68">
        <f>+D25/Index!$B$13</f>
        <v>187.2627179748289</v>
      </c>
      <c r="F25" s="87">
        <f t="shared" si="27"/>
        <v>94.898</v>
      </c>
      <c r="G25" s="68">
        <f>+F25/Index!$B$13</f>
        <v>162.14285958371636</v>
      </c>
      <c r="H25" s="87">
        <f t="shared" si="28"/>
        <v>89.251</v>
      </c>
      <c r="I25" s="68">
        <f>+H25/Index!$B$13</f>
        <v>152.49438724426508</v>
      </c>
      <c r="J25" s="87">
        <f t="shared" si="29"/>
        <v>91.77254099999999</v>
      </c>
      <c r="K25" s="68">
        <f>+J25/Index!$B$13</f>
        <v>156.80269583135419</v>
      </c>
      <c r="L25" s="87">
        <f t="shared" si="30"/>
        <v>83.15275700000001</v>
      </c>
      <c r="M25" s="68">
        <f>+L25/Index!$B$13</f>
        <v>142.07492046460294</v>
      </c>
      <c r="N25" s="87">
        <f aca="true" t="shared" si="44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5" ref="U25:Z25">(U9+U8+U7)</f>
        <v>129.161426</v>
      </c>
      <c r="V25" s="73">
        <f t="shared" si="45"/>
        <v>77.922295847278</v>
      </c>
      <c r="W25" s="73">
        <f t="shared" si="45"/>
        <v>133.138147</v>
      </c>
      <c r="X25" s="73">
        <f t="shared" si="45"/>
        <v>73.05003117574802</v>
      </c>
      <c r="Y25" s="73">
        <f t="shared" si="45"/>
        <v>124.81338855945768</v>
      </c>
      <c r="Z25" s="73">
        <f t="shared" si="45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6" ref="AD25:AK25">AD9+AD8+AD7</f>
        <v>72.7495582</v>
      </c>
      <c r="AE25" s="88">
        <f t="shared" si="46"/>
        <v>124.30000000000001</v>
      </c>
      <c r="AF25" s="88">
        <f t="shared" si="46"/>
        <v>86.38644239999999</v>
      </c>
      <c r="AG25" s="88">
        <f t="shared" si="46"/>
        <v>147.6</v>
      </c>
      <c r="AH25" s="88">
        <f t="shared" si="46"/>
        <v>98.38455939999999</v>
      </c>
      <c r="AI25" s="88">
        <f t="shared" si="46"/>
        <v>168.1</v>
      </c>
      <c r="AJ25" s="88">
        <f t="shared" si="46"/>
        <v>117.6986014</v>
      </c>
      <c r="AK25" s="88">
        <f t="shared" si="46"/>
        <v>201.1</v>
      </c>
      <c r="AL25" s="88">
        <f t="shared" si="33"/>
        <v>5.689488910318211</v>
      </c>
      <c r="AM25" s="88">
        <f t="shared" si="34"/>
        <v>-13.414233576642332</v>
      </c>
      <c r="AN25" s="88">
        <f t="shared" si="35"/>
        <v>-5.950599591139966</v>
      </c>
      <c r="AO25" s="88">
        <f t="shared" si="36"/>
        <v>2.8252243672339654</v>
      </c>
      <c r="AP25" s="88">
        <f t="shared" si="37"/>
        <v>-9.39255239756298</v>
      </c>
      <c r="AQ25" s="88">
        <f t="shared" si="38"/>
        <v>-0.9752809214803528</v>
      </c>
      <c r="AR25" s="88">
        <f t="shared" si="39"/>
        <v>1.804830426804176</v>
      </c>
      <c r="AS25" s="88">
        <v>-12.8</v>
      </c>
      <c r="AT25" s="88">
        <f t="shared" si="20"/>
        <v>3.473703497261206</v>
      </c>
      <c r="AU25" s="88">
        <f t="shared" si="40"/>
        <v>3.078876660900289</v>
      </c>
      <c r="AV25" s="88">
        <f t="shared" si="41"/>
        <v>-6.25272217476658</v>
      </c>
      <c r="AW25" s="88">
        <f t="shared" si="42"/>
        <v>0.3097515779392043</v>
      </c>
      <c r="AX25" s="88">
        <f t="shared" si="21"/>
        <v>-5.351437699680503</v>
      </c>
      <c r="AY25" s="88">
        <f t="shared" si="22"/>
        <v>4.894514767932499</v>
      </c>
      <c r="AZ25" s="88">
        <f t="shared" si="23"/>
        <v>18.74497184231696</v>
      </c>
      <c r="BA25" s="88">
        <f t="shared" si="24"/>
        <v>13.88888888888889</v>
      </c>
      <c r="BB25" s="88">
        <f t="shared" si="43"/>
        <v>19.631171921475328</v>
      </c>
    </row>
    <row r="26" spans="1:54" ht="15">
      <c r="A26" s="66" t="s">
        <v>42</v>
      </c>
      <c r="B26" s="85">
        <f t="shared" si="25"/>
        <v>193.60000000000002</v>
      </c>
      <c r="C26" s="68">
        <f>+B26/Index!$B$13</f>
        <v>330.7852390504277</v>
      </c>
      <c r="D26" s="85">
        <f t="shared" si="26"/>
        <v>186.6</v>
      </c>
      <c r="E26" s="68">
        <f>+D26/Index!$B$13</f>
        <v>318.82502896079444</v>
      </c>
      <c r="F26" s="87">
        <f t="shared" si="27"/>
        <v>161.95499999999998</v>
      </c>
      <c r="G26" s="68">
        <f>+F26/Index!$B$13</f>
        <v>276.7165464380786</v>
      </c>
      <c r="H26" s="87">
        <f t="shared" si="28"/>
        <v>161.31799999999998</v>
      </c>
      <c r="I26" s="68">
        <f>+H26/Index!$B$13</f>
        <v>275.62816731992194</v>
      </c>
      <c r="J26" s="87">
        <f t="shared" si="29"/>
        <v>153.735392</v>
      </c>
      <c r="K26" s="68">
        <f>+J26/Index!$B$13</f>
        <v>262.67251236173144</v>
      </c>
      <c r="L26" s="87">
        <f t="shared" si="30"/>
        <v>157.60918</v>
      </c>
      <c r="M26" s="68">
        <f>+L26/Index!$B$13</f>
        <v>269.2912721221172</v>
      </c>
      <c r="N26" s="87">
        <f t="shared" si="44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7" ref="T26:Y26">(T10+T9+T8+T7)</f>
        <v>127.70987880254201</v>
      </c>
      <c r="U26" s="73">
        <f t="shared" si="47"/>
        <v>218.20528299999998</v>
      </c>
      <c r="V26" s="73">
        <f t="shared" si="47"/>
        <v>157.92809197511514</v>
      </c>
      <c r="W26" s="73">
        <f t="shared" si="47"/>
        <v>269.836165582471</v>
      </c>
      <c r="X26" s="73">
        <f t="shared" si="47"/>
        <v>140.1475119602901</v>
      </c>
      <c r="Y26" s="73">
        <f t="shared" si="47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 aca="true" t="shared" si="48" ref="AF26:AK26">AF7+AF10+AF9+AF8</f>
        <v>167.095727</v>
      </c>
      <c r="AG26" s="88">
        <f t="shared" si="48"/>
        <v>285.5</v>
      </c>
      <c r="AH26" s="88">
        <f t="shared" si="48"/>
        <v>209.35250979999998</v>
      </c>
      <c r="AI26" s="88">
        <f t="shared" si="48"/>
        <v>357.70000000000005</v>
      </c>
      <c r="AJ26" s="88">
        <f t="shared" si="48"/>
        <v>223.867305</v>
      </c>
      <c r="AK26" s="88">
        <f t="shared" si="48"/>
        <v>382.5</v>
      </c>
      <c r="AL26" s="88">
        <f t="shared" si="33"/>
        <v>-3.615702479338857</v>
      </c>
      <c r="AM26" s="88">
        <f t="shared" si="34"/>
        <v>-13.207395498392282</v>
      </c>
      <c r="AN26" s="88">
        <f t="shared" si="35"/>
        <v>-0.39331913185761985</v>
      </c>
      <c r="AO26" s="88">
        <f t="shared" si="36"/>
        <v>-4.700410369580575</v>
      </c>
      <c r="AP26" s="88">
        <f t="shared" si="37"/>
        <v>2.519776317999716</v>
      </c>
      <c r="AQ26" s="88">
        <f t="shared" si="38"/>
        <v>-1.8193077171684637</v>
      </c>
      <c r="AR26" s="88">
        <f t="shared" si="39"/>
        <v>-5.0653939765065985</v>
      </c>
      <c r="AS26" s="88">
        <f t="shared" si="39"/>
        <v>-7.4654544083880126</v>
      </c>
      <c r="AT26" s="88">
        <f t="shared" si="20"/>
        <v>-6.051804217854123</v>
      </c>
      <c r="AU26" s="88">
        <f t="shared" si="40"/>
        <v>23.661609779847083</v>
      </c>
      <c r="AV26" s="88">
        <f t="shared" si="41"/>
        <v>-11.25865562766802</v>
      </c>
      <c r="AW26" s="88">
        <f t="shared" si="42"/>
        <v>-1.6104157174974174</v>
      </c>
      <c r="AX26" s="88">
        <f t="shared" si="21"/>
        <v>6.706281833616291</v>
      </c>
      <c r="AY26" s="88">
        <f t="shared" si="22"/>
        <v>1.3524264120922855</v>
      </c>
      <c r="AZ26" s="88">
        <f t="shared" si="23"/>
        <v>12.048665620094187</v>
      </c>
      <c r="BA26" s="88">
        <f t="shared" si="24"/>
        <v>25.2889667250438</v>
      </c>
      <c r="BB26" s="88">
        <f t="shared" si="43"/>
        <v>6.933184232597153</v>
      </c>
    </row>
    <row r="27" spans="1:54" ht="15">
      <c r="A27" s="66" t="s">
        <v>43</v>
      </c>
      <c r="B27" s="85">
        <f t="shared" si="25"/>
        <v>332.70000000000005</v>
      </c>
      <c r="C27" s="68">
        <f>+B27/Index!$B$13</f>
        <v>568.4516995458539</v>
      </c>
      <c r="D27" s="85">
        <f t="shared" si="26"/>
        <v>306.1</v>
      </c>
      <c r="E27" s="68">
        <f>+D27/Index!$B$13</f>
        <v>523.0029012052476</v>
      </c>
      <c r="F27" s="87">
        <f t="shared" si="27"/>
        <v>254.47299999999998</v>
      </c>
      <c r="G27" s="68">
        <f>+F27/Index!$B$13</f>
        <v>434.79293459131964</v>
      </c>
      <c r="H27" s="87">
        <f t="shared" si="28"/>
        <v>260.801</v>
      </c>
      <c r="I27" s="68">
        <f>+H27/Index!$B$13</f>
        <v>445.6049645123481</v>
      </c>
      <c r="J27" s="87">
        <f t="shared" si="29"/>
        <v>259.122792</v>
      </c>
      <c r="K27" s="68">
        <f>+J27/Index!$B$13</f>
        <v>442.73757590461906</v>
      </c>
      <c r="L27" s="87">
        <f t="shared" si="30"/>
        <v>269.47206900000003</v>
      </c>
      <c r="M27" s="68">
        <f>+L27/Index!$B$13</f>
        <v>460.4203655040204</v>
      </c>
      <c r="N27" s="87">
        <f t="shared" si="44"/>
        <v>274.5417840252941</v>
      </c>
      <c r="O27" s="68">
        <f>+N27/Index!$B$13</f>
        <v>469.08248790360426</v>
      </c>
      <c r="P27" s="73">
        <f aca="true" t="shared" si="49" ref="P27:V27">(P7+P8+P11+P10+P9)</f>
        <v>258.87133142282</v>
      </c>
      <c r="Q27" s="73">
        <f t="shared" si="49"/>
        <v>442.30793000000006</v>
      </c>
      <c r="R27" s="73">
        <f t="shared" si="49"/>
        <v>228.49197568600596</v>
      </c>
      <c r="S27" s="73">
        <f>(S7+S8+S11+S10+S9)</f>
        <v>390.40171899999996</v>
      </c>
      <c r="T27" s="73">
        <f t="shared" si="49"/>
        <v>224.143537940328</v>
      </c>
      <c r="U27" s="73">
        <f t="shared" si="49"/>
        <v>382.97197200000005</v>
      </c>
      <c r="V27" s="73">
        <f t="shared" si="49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50" ref="AA27:AK27">AA11+AA10+AA9+AA8+AA7</f>
        <v>437.7</v>
      </c>
      <c r="AB27" s="85">
        <f t="shared" si="50"/>
        <v>278.297787</v>
      </c>
      <c r="AC27" s="85">
        <f t="shared" si="50"/>
        <v>475.5</v>
      </c>
      <c r="AD27" s="85">
        <f t="shared" si="50"/>
        <v>276.1908006</v>
      </c>
      <c r="AE27" s="85">
        <f t="shared" si="50"/>
        <v>471.9</v>
      </c>
      <c r="AF27" s="85">
        <f>AF11+AF10+AF9+AF8+AF7</f>
        <v>310.31227479999995</v>
      </c>
      <c r="AG27" s="85">
        <f t="shared" si="50"/>
        <v>530.2</v>
      </c>
      <c r="AH27" s="85">
        <f t="shared" si="50"/>
        <v>379.95988079999995</v>
      </c>
      <c r="AI27" s="85">
        <f t="shared" si="50"/>
        <v>649.2</v>
      </c>
      <c r="AJ27" s="85">
        <f t="shared" si="50"/>
        <v>396.34755279999996</v>
      </c>
      <c r="AK27" s="85">
        <f t="shared" si="50"/>
        <v>677.2</v>
      </c>
      <c r="AL27" s="88">
        <f t="shared" si="33"/>
        <v>-7.995190862639023</v>
      </c>
      <c r="AM27" s="88">
        <f t="shared" si="34"/>
        <v>-16.866056844168583</v>
      </c>
      <c r="AN27" s="88">
        <f t="shared" si="35"/>
        <v>2.4867078236197977</v>
      </c>
      <c r="AO27" s="88">
        <f t="shared" si="36"/>
        <v>-0.6434821952369807</v>
      </c>
      <c r="AP27" s="88">
        <f t="shared" si="37"/>
        <v>3.9939663045927785</v>
      </c>
      <c r="AQ27" s="88">
        <f t="shared" si="38"/>
        <v>1.8813508368817362</v>
      </c>
      <c r="AR27" s="88">
        <f t="shared" si="39"/>
        <v>-5.707857060122512</v>
      </c>
      <c r="AS27" s="88">
        <v>-11.7</v>
      </c>
      <c r="AT27" s="88">
        <f t="shared" si="20"/>
        <v>-1.9031030444822163</v>
      </c>
      <c r="AU27" s="88">
        <f t="shared" si="40"/>
        <v>19.3136848099346</v>
      </c>
      <c r="AV27" s="88">
        <f t="shared" si="41"/>
        <v>-0.6940493880470715</v>
      </c>
      <c r="AW27" s="88">
        <f t="shared" si="42"/>
        <v>-3.5407181830650827</v>
      </c>
      <c r="AX27" s="88">
        <f t="shared" si="21"/>
        <v>8.63605209047293</v>
      </c>
      <c r="AY27" s="88">
        <f t="shared" si="22"/>
        <v>-0.757097791798112</v>
      </c>
      <c r="AZ27" s="88">
        <f t="shared" si="23"/>
        <v>12.35431235431237</v>
      </c>
      <c r="BA27" s="88">
        <f t="shared" si="24"/>
        <v>22.444360618634477</v>
      </c>
      <c r="BB27" s="88">
        <f t="shared" si="43"/>
        <v>4.313000616142948</v>
      </c>
    </row>
    <row r="28" spans="1:54" ht="15">
      <c r="A28" s="66" t="s">
        <v>44</v>
      </c>
      <c r="B28" s="85">
        <f t="shared" si="25"/>
        <v>490.1</v>
      </c>
      <c r="C28" s="68">
        <f>+B28/Index!$B$13</f>
        <v>837.3855664184639</v>
      </c>
      <c r="D28" s="85">
        <f t="shared" si="26"/>
        <v>445.418</v>
      </c>
      <c r="E28" s="68">
        <f>+D28/Index!$B$13</f>
        <v>761.0418368148936</v>
      </c>
      <c r="F28" s="87">
        <f t="shared" si="27"/>
        <v>369.259</v>
      </c>
      <c r="G28" s="68">
        <f>+F28/Index!$B$13</f>
        <v>630.9164596411255</v>
      </c>
      <c r="H28" s="87">
        <f t="shared" si="28"/>
        <v>370.101</v>
      </c>
      <c r="I28" s="68">
        <f>+H28/Index!$B$13</f>
        <v>632.3551020547642</v>
      </c>
      <c r="J28" s="87">
        <f t="shared" si="29"/>
        <v>372.446452</v>
      </c>
      <c r="K28" s="68">
        <f>+J28/Index!$B$13</f>
        <v>636.3625447226428</v>
      </c>
      <c r="L28" s="87">
        <f t="shared" si="30"/>
        <v>387.14375000000007</v>
      </c>
      <c r="M28" s="68">
        <f>+L28/Index!$B$13</f>
        <v>661.4743692697781</v>
      </c>
      <c r="N28" s="87">
        <f t="shared" si="44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51" ref="T28:Y28">(T8+T9+T12+T11+T10+T7)</f>
        <v>338.4492483713664</v>
      </c>
      <c r="U28" s="73">
        <f t="shared" si="51"/>
        <v>578.2748736</v>
      </c>
      <c r="V28" s="73">
        <f t="shared" si="51"/>
        <v>396.17682854834766</v>
      </c>
      <c r="W28" s="73">
        <f t="shared" si="51"/>
        <v>676.9083002975491</v>
      </c>
      <c r="X28" s="73">
        <f t="shared" si="51"/>
        <v>414.5039645292597</v>
      </c>
      <c r="Y28" s="73">
        <f t="shared" si="51"/>
        <v>708.2220712508324</v>
      </c>
      <c r="Z28" s="73">
        <f>(Z8+Z9+Z12+Z11+Z10+Z7)</f>
        <v>408.22861499999993</v>
      </c>
      <c r="AA28" s="85">
        <f aca="true" t="shared" si="52" ref="AA28:AK28">AA12+AA11+AA10+AA9+AA8+AA7</f>
        <v>697.4999999999999</v>
      </c>
      <c r="AB28" s="85">
        <f t="shared" si="52"/>
        <v>455.7528638</v>
      </c>
      <c r="AC28" s="85">
        <f t="shared" si="52"/>
        <v>778.6999999999999</v>
      </c>
      <c r="AD28" s="85">
        <f t="shared" si="52"/>
        <v>427.7767665999999</v>
      </c>
      <c r="AE28" s="85">
        <f t="shared" si="52"/>
        <v>730.9</v>
      </c>
      <c r="AF28" s="85">
        <f>AF12+AF11+AF10+AF9+AF8+AF7</f>
        <v>486.4797487999999</v>
      </c>
      <c r="AG28" s="85">
        <f t="shared" si="52"/>
        <v>831.2</v>
      </c>
      <c r="AH28" s="85">
        <f t="shared" si="52"/>
        <v>583.1670136</v>
      </c>
      <c r="AI28" s="85">
        <f t="shared" si="52"/>
        <v>996.4000000000001</v>
      </c>
      <c r="AJ28" s="85">
        <f t="shared" si="52"/>
        <v>605.7000626</v>
      </c>
      <c r="AK28" s="85">
        <f t="shared" si="52"/>
        <v>1034.9</v>
      </c>
      <c r="AL28" s="88">
        <f t="shared" si="33"/>
        <v>-9.116914915323402</v>
      </c>
      <c r="AM28" s="88">
        <f t="shared" si="34"/>
        <v>-17.09832112757005</v>
      </c>
      <c r="AN28" s="88">
        <f t="shared" si="35"/>
        <v>0.22802423231390073</v>
      </c>
      <c r="AO28" s="88">
        <f t="shared" si="36"/>
        <v>0.63373295397743</v>
      </c>
      <c r="AP28" s="88">
        <f t="shared" si="37"/>
        <v>3.946150626775212</v>
      </c>
      <c r="AQ28" s="88">
        <f t="shared" si="38"/>
        <v>2.272549673162474</v>
      </c>
      <c r="AR28" s="88">
        <f t="shared" si="39"/>
        <v>-0.6827717843685231</v>
      </c>
      <c r="AS28" s="88">
        <f t="shared" si="39"/>
        <v>-15.794895047536423</v>
      </c>
      <c r="AT28" s="88">
        <f t="shared" si="20"/>
        <v>2.2113692586750715</v>
      </c>
      <c r="AU28" s="88">
        <f t="shared" si="40"/>
        <v>17.05649531052859</v>
      </c>
      <c r="AV28" s="88">
        <f t="shared" si="41"/>
        <v>4.625998963156266</v>
      </c>
      <c r="AW28" s="88">
        <f t="shared" si="42"/>
        <v>-1.5139419803587384</v>
      </c>
      <c r="AX28" s="88">
        <f t="shared" si="21"/>
        <v>11.641577060931908</v>
      </c>
      <c r="AY28" s="88">
        <f t="shared" si="22"/>
        <v>-6.138435854629505</v>
      </c>
      <c r="AZ28" s="88">
        <f t="shared" si="23"/>
        <v>13.722807497605702</v>
      </c>
      <c r="BA28" s="88">
        <f t="shared" si="24"/>
        <v>19.874879692011554</v>
      </c>
      <c r="BB28" s="353">
        <f t="shared" si="43"/>
        <v>3.863910076274589</v>
      </c>
    </row>
    <row r="29" spans="1:54" ht="15">
      <c r="A29" s="66" t="s">
        <v>45</v>
      </c>
      <c r="B29" s="85">
        <f t="shared" si="25"/>
        <v>682.0840000000001</v>
      </c>
      <c r="C29" s="68">
        <f>+B29/Index!$B$13</f>
        <v>1165.4097055396278</v>
      </c>
      <c r="D29" s="85">
        <f t="shared" si="26"/>
        <v>606.104</v>
      </c>
      <c r="E29" s="68">
        <f>+D29/Index!$B$13</f>
        <v>1035.590168023866</v>
      </c>
      <c r="F29" s="87">
        <f t="shared" si="27"/>
        <v>521.678</v>
      </c>
      <c r="G29" s="68">
        <f>+F29/Index!$B$13</f>
        <v>891.3397827342408</v>
      </c>
      <c r="H29" s="87">
        <f t="shared" si="28"/>
        <v>505.201</v>
      </c>
      <c r="I29" s="68">
        <f>+H29/Index!$B$13</f>
        <v>863.1871567846856</v>
      </c>
      <c r="J29" s="87">
        <f t="shared" si="29"/>
        <v>512.54696932</v>
      </c>
      <c r="K29" s="68">
        <f>+J29/Index!$B$13</f>
        <v>875.7384905531427</v>
      </c>
      <c r="L29" s="87">
        <f t="shared" si="30"/>
        <v>542.1588720000001</v>
      </c>
      <c r="M29" s="68">
        <f>+L29/Index!$B$13</f>
        <v>926.3334301540818</v>
      </c>
      <c r="N29" s="87">
        <f t="shared" si="44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 aca="true" t="shared" si="53" ref="AF29:AK29">AF7+AF13+AF12+AF11+AF10+AF9+AF8</f>
        <v>721.8769516</v>
      </c>
      <c r="AG29" s="85">
        <f t="shared" si="53"/>
        <v>1233.4</v>
      </c>
      <c r="AH29" s="85">
        <f t="shared" si="53"/>
        <v>832.3181554</v>
      </c>
      <c r="AI29" s="85">
        <f t="shared" si="53"/>
        <v>1422.0999999999997</v>
      </c>
      <c r="AJ29" s="85">
        <f t="shared" si="53"/>
        <v>855.3779509999998</v>
      </c>
      <c r="AK29" s="85">
        <f t="shared" si="53"/>
        <v>1461.5000000000002</v>
      </c>
      <c r="AL29" s="88">
        <f t="shared" si="33"/>
        <v>-11.139390456307428</v>
      </c>
      <c r="AM29" s="88">
        <f t="shared" si="34"/>
        <v>-13.92929266264537</v>
      </c>
      <c r="AN29" s="88">
        <f t="shared" si="35"/>
        <v>-3.158461733099718</v>
      </c>
      <c r="AO29" s="88">
        <f t="shared" si="36"/>
        <v>1.4540686419860511</v>
      </c>
      <c r="AP29" s="88">
        <f t="shared" si="37"/>
        <v>5.7774027459934825</v>
      </c>
      <c r="AQ29" s="88">
        <f t="shared" si="38"/>
        <v>4.0418952805134385</v>
      </c>
      <c r="AR29" s="88">
        <f t="shared" si="39"/>
        <v>-1.9683248846595138</v>
      </c>
      <c r="AS29" s="88">
        <f t="shared" si="39"/>
        <v>-18.808849580191033</v>
      </c>
      <c r="AT29" s="88">
        <f t="shared" si="20"/>
        <v>1.3880266434800135</v>
      </c>
      <c r="AU29" s="88">
        <f t="shared" si="40"/>
        <v>17.541168937880137</v>
      </c>
      <c r="AV29" s="88">
        <f t="shared" si="41"/>
        <v>6.140079185072523</v>
      </c>
      <c r="AW29" s="88">
        <f t="shared" si="42"/>
        <v>2.6078255473465264</v>
      </c>
      <c r="AX29" s="88">
        <f t="shared" si="21"/>
        <v>6.157706785059352</v>
      </c>
      <c r="AY29" s="88">
        <f t="shared" si="22"/>
        <v>-2.4456768797163253</v>
      </c>
      <c r="AZ29" s="88">
        <f t="shared" si="23"/>
        <v>14.948741845293553</v>
      </c>
      <c r="BA29" s="88">
        <f t="shared" si="24"/>
        <v>15.299173017674686</v>
      </c>
      <c r="BB29" s="353">
        <f t="shared" si="43"/>
        <v>2.7705505941916644</v>
      </c>
    </row>
    <row r="30" spans="1:54" s="11" customFormat="1" ht="15">
      <c r="A30" s="66" t="s">
        <v>46</v>
      </c>
      <c r="B30" s="85">
        <f t="shared" si="25"/>
        <v>887.0440000000001</v>
      </c>
      <c r="C30" s="68">
        <f>+B30/Index!$B$13</f>
        <v>1515.604656964089</v>
      </c>
      <c r="D30" s="85">
        <f t="shared" si="26"/>
        <v>759.868</v>
      </c>
      <c r="E30" s="68">
        <f>+D30/Index!$B$13</f>
        <v>1298.3115600556323</v>
      </c>
      <c r="F30" s="87">
        <f t="shared" si="27"/>
        <v>686.972</v>
      </c>
      <c r="G30" s="68">
        <f>+F30/Index!$B$13</f>
        <v>1173.7613493850745</v>
      </c>
      <c r="H30" s="87">
        <f t="shared" si="28"/>
        <v>653.301</v>
      </c>
      <c r="I30" s="68">
        <f>+H30/Index!$B$13</f>
        <v>1116.2310302524972</v>
      </c>
      <c r="J30" s="87">
        <f t="shared" si="29"/>
        <v>673.86302032</v>
      </c>
      <c r="K30" s="68">
        <f>+J30/Index!$B$13</f>
        <v>1151.3633278088555</v>
      </c>
      <c r="L30" s="87">
        <f t="shared" si="30"/>
        <v>697.160911</v>
      </c>
      <c r="M30" s="68">
        <f>+L30/Index!$B$13</f>
        <v>1191.1701374057282</v>
      </c>
      <c r="N30" s="87">
        <f t="shared" si="44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4" ref="T30:Y30">(T8+T9+T10+T11+T14+T13+T12+T7)</f>
        <v>614.8142112966424</v>
      </c>
      <c r="U30" s="73">
        <f t="shared" si="54"/>
        <v>1050.4724476000001</v>
      </c>
      <c r="V30" s="73">
        <f t="shared" si="54"/>
        <v>713.0690864731317</v>
      </c>
      <c r="W30" s="73">
        <f t="shared" si="54"/>
        <v>1218.3508689487858</v>
      </c>
      <c r="X30" s="73">
        <f>(X8+X9+X10+X11+X14+X13+X12+X7)</f>
        <v>773.6455012030214</v>
      </c>
      <c r="Y30" s="73">
        <f t="shared" si="54"/>
        <v>1321.8518184696763</v>
      </c>
      <c r="Z30" s="73">
        <f>(Z8+Z9+Z10+Z11+Z14+Z13+Z12+Z7)</f>
        <v>810.9556544</v>
      </c>
      <c r="AA30" s="85">
        <f aca="true" t="shared" si="55" ref="AA30:AK30">AA14+AA13+AA12+AA11+AA10+AA9+AA8+AA7</f>
        <v>1385.6000000000001</v>
      </c>
      <c r="AB30" s="85">
        <f t="shared" si="55"/>
        <v>833.5472308</v>
      </c>
      <c r="AC30" s="85">
        <f t="shared" si="55"/>
        <v>1424.2</v>
      </c>
      <c r="AD30" s="85">
        <f t="shared" si="55"/>
        <v>837.8197309999999</v>
      </c>
      <c r="AE30" s="85">
        <f t="shared" si="55"/>
        <v>1431.5000000000002</v>
      </c>
      <c r="AF30" s="85">
        <f t="shared" si="55"/>
        <v>951.4214143999999</v>
      </c>
      <c r="AG30" s="85">
        <f t="shared" si="55"/>
        <v>1625.6000000000001</v>
      </c>
      <c r="AH30" s="85">
        <f t="shared" si="55"/>
        <v>1080.2402218</v>
      </c>
      <c r="AI30" s="85">
        <f t="shared" si="55"/>
        <v>1845.6999999999998</v>
      </c>
      <c r="AJ30" s="85">
        <f t="shared" si="55"/>
        <v>1105.9922778</v>
      </c>
      <c r="AK30" s="85">
        <f t="shared" si="55"/>
        <v>1889.7000000000003</v>
      </c>
      <c r="AL30" s="88">
        <f t="shared" si="33"/>
        <v>-14.337056560892133</v>
      </c>
      <c r="AM30" s="88">
        <f t="shared" si="34"/>
        <v>-9.5932451425774</v>
      </c>
      <c r="AN30" s="88">
        <f t="shared" si="35"/>
        <v>-4.901364247742267</v>
      </c>
      <c r="AO30" s="88">
        <f t="shared" si="36"/>
        <v>3.1474037725336435</v>
      </c>
      <c r="AP30" s="88">
        <f t="shared" si="37"/>
        <v>3.457362991804548</v>
      </c>
      <c r="AQ30" s="88">
        <f t="shared" si="38"/>
        <v>6.59983285555333</v>
      </c>
      <c r="AR30" s="88">
        <f t="shared" si="39"/>
        <v>-3.6993449764124873</v>
      </c>
      <c r="AS30" s="88">
        <f t="shared" si="39"/>
        <v>-15.51780419190878</v>
      </c>
      <c r="AT30" s="88">
        <f t="shared" si="20"/>
        <v>1.685706571558351</v>
      </c>
      <c r="AU30" s="88">
        <f t="shared" si="40"/>
        <v>15.981230324730092</v>
      </c>
      <c r="AV30" s="88">
        <f t="shared" si="41"/>
        <v>8.495167702403576</v>
      </c>
      <c r="AW30" s="88">
        <f t="shared" si="42"/>
        <v>4.822642041989686</v>
      </c>
      <c r="AX30" s="88">
        <f t="shared" si="21"/>
        <v>2.7857967667436423</v>
      </c>
      <c r="AY30" s="88">
        <f t="shared" si="22"/>
        <v>0.51256845948604</v>
      </c>
      <c r="AZ30" s="88">
        <f t="shared" si="23"/>
        <v>13.559203632553258</v>
      </c>
      <c r="BA30" s="88">
        <f t="shared" si="24"/>
        <v>13.539616141732264</v>
      </c>
      <c r="BB30" s="353">
        <f t="shared" si="43"/>
        <v>2.3839193801809646</v>
      </c>
    </row>
    <row r="31" spans="1:54" s="11" customFormat="1" ht="15">
      <c r="A31" s="66" t="s">
        <v>47</v>
      </c>
      <c r="B31" s="85">
        <f t="shared" si="25"/>
        <v>1063.344</v>
      </c>
      <c r="C31" s="68">
        <f>+B31/Index!$B$13</f>
        <v>1816.8310910787086</v>
      </c>
      <c r="D31" s="85">
        <f t="shared" si="26"/>
        <v>917.2330000000001</v>
      </c>
      <c r="E31" s="68">
        <f>+D31/Index!$B$13</f>
        <v>1567.185625877794</v>
      </c>
      <c r="F31" s="87">
        <f t="shared" si="27"/>
        <v>821.076</v>
      </c>
      <c r="G31" s="68">
        <f>+F31/Index!$B$13</f>
        <v>1402.8916370793852</v>
      </c>
      <c r="H31" s="87">
        <f t="shared" si="28"/>
        <v>794.501</v>
      </c>
      <c r="I31" s="68">
        <f>+H31/Index!$B$13</f>
        <v>1357.4855537748133</v>
      </c>
      <c r="J31" s="87">
        <f t="shared" si="29"/>
        <v>811.7610552000001</v>
      </c>
      <c r="K31" s="68">
        <f>+J31/Index!$B$13</f>
        <v>1386.9761089677659</v>
      </c>
      <c r="L31" s="87">
        <f t="shared" si="30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6" ref="T31:Y31">(T9+T10+T11+T12+T15+T14+T13+T8+T7)</f>
        <v>743.8793973955044</v>
      </c>
      <c r="U31" s="73">
        <f t="shared" si="56"/>
        <v>1270.9934105999998</v>
      </c>
      <c r="V31" s="73">
        <f t="shared" si="56"/>
        <v>851.0728254640777</v>
      </c>
      <c r="W31" s="73">
        <f t="shared" si="56"/>
        <v>1454.1442563040177</v>
      </c>
      <c r="X31" s="73">
        <f>(X9+X10+X11+X12+X15+X14+X13+X8+X7)</f>
        <v>943.295504213725</v>
      </c>
      <c r="Y31" s="73">
        <f t="shared" si="56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 aca="true" t="shared" si="57" ref="AF31:AK31">AF7+AF15+AF14+AF13+AF12+AF11+AF10+AF9+AF8</f>
        <v>1148.7172798000001</v>
      </c>
      <c r="AG31" s="85">
        <f t="shared" si="57"/>
        <v>1962.7000000000003</v>
      </c>
      <c r="AH31" s="85">
        <f t="shared" si="57"/>
        <v>1297.3768758</v>
      </c>
      <c r="AI31" s="85">
        <f t="shared" si="57"/>
        <v>2216.7</v>
      </c>
      <c r="AJ31" s="85">
        <f t="shared" si="57"/>
        <v>1327.6940690000001</v>
      </c>
      <c r="AK31" s="85">
        <f t="shared" si="57"/>
        <v>2268.5</v>
      </c>
      <c r="AL31" s="88">
        <f t="shared" si="33"/>
        <v>-13.74070855715554</v>
      </c>
      <c r="AM31" s="88">
        <f t="shared" si="34"/>
        <v>-10.483377724089731</v>
      </c>
      <c r="AN31" s="88">
        <f t="shared" si="35"/>
        <v>-3.2366065991455124</v>
      </c>
      <c r="AO31" s="88">
        <f t="shared" si="36"/>
        <v>2.172439707439024</v>
      </c>
      <c r="AP31" s="88">
        <f t="shared" si="37"/>
        <v>3.2411803487563873</v>
      </c>
      <c r="AQ31" s="88">
        <f t="shared" si="38"/>
        <v>7.046292469574836</v>
      </c>
      <c r="AR31" s="88">
        <f t="shared" si="39"/>
        <v>-4.08556852624911</v>
      </c>
      <c r="AS31" s="88">
        <f t="shared" si="39"/>
        <v>-16.113355697190375</v>
      </c>
      <c r="AT31" s="88">
        <f t="shared" si="20"/>
        <v>3.0559209534836245</v>
      </c>
      <c r="AU31" s="88">
        <f t="shared" si="40"/>
        <v>14.410054700248809</v>
      </c>
      <c r="AV31" s="88">
        <f t="shared" si="41"/>
        <v>10.836050216896496</v>
      </c>
      <c r="AW31" s="88">
        <f t="shared" si="42"/>
        <v>7.897417241309807</v>
      </c>
      <c r="AX31" s="88">
        <f t="shared" si="21"/>
        <v>-2.380678550891309</v>
      </c>
      <c r="AY31" s="88">
        <f t="shared" si="22"/>
        <v>3.2398680490103673</v>
      </c>
      <c r="AZ31" s="88">
        <f t="shared" si="23"/>
        <v>11.987903685952306</v>
      </c>
      <c r="BA31" s="88">
        <f t="shared" si="24"/>
        <v>12.941356294899858</v>
      </c>
      <c r="BB31" s="353">
        <f t="shared" si="43"/>
        <v>2.3368069653087935</v>
      </c>
    </row>
    <row r="32" spans="1:54" s="11" customFormat="1" ht="15">
      <c r="A32" s="66" t="s">
        <v>48</v>
      </c>
      <c r="B32" s="85">
        <f t="shared" si="25"/>
        <v>1193.544</v>
      </c>
      <c r="C32" s="68">
        <f>+B32/Index!$B$13</f>
        <v>2039.2909987458868</v>
      </c>
      <c r="D32" s="85">
        <f t="shared" si="26"/>
        <v>1045.272</v>
      </c>
      <c r="E32" s="68">
        <f>+D32/Index!$B$13</f>
        <v>1785.9532458301583</v>
      </c>
      <c r="F32" s="87">
        <f t="shared" si="27"/>
        <v>933.493</v>
      </c>
      <c r="G32" s="68">
        <f>+F32/Index!$B$13</f>
        <v>1594.9674853145707</v>
      </c>
      <c r="H32" s="87">
        <f t="shared" si="28"/>
        <v>910.401</v>
      </c>
      <c r="I32" s="68">
        <f>+H32/Index!$B$13</f>
        <v>1555.512460830312</v>
      </c>
      <c r="J32" s="87">
        <f t="shared" si="29"/>
        <v>932.2359912000001</v>
      </c>
      <c r="K32" s="68">
        <f>+J32/Index!$B$13</f>
        <v>1592.8197582670682</v>
      </c>
      <c r="L32" s="87">
        <f t="shared" si="30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8" ref="P32:W32">(P8+P9+P10+P11+P12+P13+P16+P15+P14+P7)</f>
        <v>976.7109306988959</v>
      </c>
      <c r="Q32" s="73">
        <f t="shared" si="58"/>
        <v>1668.8097039999998</v>
      </c>
      <c r="R32" s="73">
        <f t="shared" si="58"/>
        <v>813.278231745366</v>
      </c>
      <c r="S32" s="73">
        <f>(S8+S9+S10+S11+S12+S13+S16+S15+S14+S7)</f>
        <v>1389.5683589999999</v>
      </c>
      <c r="T32" s="73">
        <f t="shared" si="58"/>
        <v>846.6068408761964</v>
      </c>
      <c r="U32" s="73">
        <f t="shared" si="58"/>
        <v>1446.5136685999998</v>
      </c>
      <c r="V32" s="73">
        <f t="shared" si="58"/>
        <v>961.5490210407158</v>
      </c>
      <c r="W32" s="73">
        <f t="shared" si="58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9" ref="AB32:AJ32">AB7+AB16+AB15+AB14+AB13+AB12+AB11+AB10+AB9+AB8</f>
        <v>1120.6241277999998</v>
      </c>
      <c r="AC32" s="85">
        <f t="shared" si="59"/>
        <v>1914.7</v>
      </c>
      <c r="AD32" s="85">
        <f t="shared" si="59"/>
        <v>1157.4378623999999</v>
      </c>
      <c r="AE32" s="85">
        <f t="shared" si="59"/>
        <v>1977.6</v>
      </c>
      <c r="AF32" s="85">
        <f t="shared" si="59"/>
        <v>1304.4001638</v>
      </c>
      <c r="AG32" s="85">
        <f t="shared" si="59"/>
        <v>2228.7000000000003</v>
      </c>
      <c r="AH32" s="85">
        <f t="shared" si="59"/>
        <v>1459.5563012000002</v>
      </c>
      <c r="AI32" s="85">
        <f t="shared" si="59"/>
        <v>2493.7999999999997</v>
      </c>
      <c r="AJ32" s="85">
        <f t="shared" si="59"/>
        <v>1499.6475702</v>
      </c>
      <c r="AK32" s="85">
        <f>AK7+AK16+AK15+AK14+AK13+AK12+AK11+AK10+AK9+AK8</f>
        <v>2562.3</v>
      </c>
      <c r="AL32" s="88">
        <f t="shared" si="33"/>
        <v>-12.422834851501081</v>
      </c>
      <c r="AM32" s="88">
        <f t="shared" si="34"/>
        <v>-10.693771573332109</v>
      </c>
      <c r="AN32" s="88">
        <f t="shared" si="35"/>
        <v>-2.4737196743842795</v>
      </c>
      <c r="AO32" s="88">
        <f t="shared" si="36"/>
        <v>2.3983927082681227</v>
      </c>
      <c r="AP32" s="88">
        <f t="shared" si="37"/>
        <v>3.0780456956037003</v>
      </c>
      <c r="AQ32" s="88">
        <f t="shared" si="38"/>
        <v>5.924950476338998</v>
      </c>
      <c r="AR32" s="88">
        <f t="shared" si="39"/>
        <v>-4.04320440693448</v>
      </c>
      <c r="AS32" s="88">
        <f t="shared" si="39"/>
        <v>-16.7329650786834</v>
      </c>
      <c r="AT32" s="88">
        <f t="shared" si="20"/>
        <v>4.098057445765428</v>
      </c>
      <c r="AU32" s="88">
        <f t="shared" si="40"/>
        <v>13.576807393330299</v>
      </c>
      <c r="AV32" s="88">
        <f t="shared" si="41"/>
        <v>10.97651970834805</v>
      </c>
      <c r="AW32" s="88">
        <f t="shared" si="42"/>
        <v>8.90516184339378</v>
      </c>
      <c r="AX32" s="88">
        <f t="shared" si="21"/>
        <v>-3.5707091055600255</v>
      </c>
      <c r="AY32" s="88">
        <f t="shared" si="22"/>
        <v>3.285109938893814</v>
      </c>
      <c r="AZ32" s="88">
        <f t="shared" si="23"/>
        <v>12.697208737864097</v>
      </c>
      <c r="BA32" s="88">
        <f t="shared" si="24"/>
        <v>11.894826580517764</v>
      </c>
      <c r="BB32" s="353">
        <f t="shared" si="43"/>
        <v>2.7468120939930873</v>
      </c>
    </row>
    <row r="33" spans="1:54" s="11" customFormat="1" ht="15">
      <c r="A33" s="66" t="s">
        <v>49</v>
      </c>
      <c r="B33" s="85">
        <f t="shared" si="25"/>
        <v>1242.344</v>
      </c>
      <c r="C33" s="68">
        <f>+B33/Index!$B$13</f>
        <v>2122.670749085044</v>
      </c>
      <c r="D33" s="85">
        <f t="shared" si="26"/>
        <v>1096.6799999999998</v>
      </c>
      <c r="E33" s="68">
        <f>+D33/Index!$B$13</f>
        <v>1873.7890287284245</v>
      </c>
      <c r="F33" s="87">
        <f t="shared" si="27"/>
        <v>982.162</v>
      </c>
      <c r="G33" s="68">
        <f>+F33/Index!$B$13</f>
        <v>1678.1234088649078</v>
      </c>
      <c r="H33" s="87">
        <f t="shared" si="28"/>
        <v>953.501</v>
      </c>
      <c r="I33" s="68">
        <f>+H33/Index!$B$13</f>
        <v>1629.1531829536252</v>
      </c>
      <c r="J33" s="87">
        <f t="shared" si="29"/>
        <v>975.3415732000001</v>
      </c>
      <c r="K33" s="68">
        <f>+J33/Index!$B$13</f>
        <v>1666.4700178036273</v>
      </c>
      <c r="L33" s="87">
        <f t="shared" si="30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60" ref="P33:U33">(P9+P10+P11+P12+P13+P14+P17+P16+P15+P8+P7)</f>
        <v>1019.0807217144599</v>
      </c>
      <c r="Q33" s="73">
        <f t="shared" si="60"/>
        <v>1741.2027899999998</v>
      </c>
      <c r="R33" s="73">
        <f t="shared" si="60"/>
        <v>848.9822400194461</v>
      </c>
      <c r="S33" s="73">
        <f>(S9+S10+S11+S12+S13+S14+S17+S16+S15+S8+S7)</f>
        <v>1450.5722790000002</v>
      </c>
      <c r="T33" s="73">
        <f t="shared" si="60"/>
        <v>883.1395309983145</v>
      </c>
      <c r="U33" s="73">
        <f t="shared" si="60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61" ref="AA33:AI33">AA17+AA16+AA15+AA14+AA13+AA12+AA11+AA10+AA9+AA8+AA7</f>
        <v>2044.8000000000002</v>
      </c>
      <c r="AB33" s="85">
        <f t="shared" si="61"/>
        <v>1158.6669377999997</v>
      </c>
      <c r="AC33" s="85">
        <f t="shared" si="61"/>
        <v>1979.7</v>
      </c>
      <c r="AD33" s="85">
        <f t="shared" si="61"/>
        <v>1205.371803</v>
      </c>
      <c r="AE33" s="85">
        <f t="shared" si="61"/>
        <v>2059.5</v>
      </c>
      <c r="AF33" s="85">
        <f t="shared" si="61"/>
        <v>1353.4461250000002</v>
      </c>
      <c r="AG33" s="85">
        <f t="shared" si="61"/>
        <v>2312.5</v>
      </c>
      <c r="AH33" s="85">
        <f t="shared" si="61"/>
        <v>1511.9383242000004</v>
      </c>
      <c r="AI33" s="85">
        <f t="shared" si="61"/>
        <v>2583.3</v>
      </c>
      <c r="AJ33" s="85"/>
      <c r="AK33" s="85"/>
      <c r="AL33" s="88">
        <f t="shared" si="33"/>
        <v>-11.724932868835053</v>
      </c>
      <c r="AM33" s="88">
        <f t="shared" si="34"/>
        <v>-10.442243863296483</v>
      </c>
      <c r="AN33" s="88">
        <f t="shared" si="35"/>
        <v>-2.918154031615965</v>
      </c>
      <c r="AO33" s="88">
        <f t="shared" si="36"/>
        <v>2.2905663654259554</v>
      </c>
      <c r="AP33" s="88">
        <f t="shared" si="37"/>
        <v>2.3790203798933063</v>
      </c>
      <c r="AQ33" s="88">
        <f t="shared" si="38"/>
        <v>5.907282727497481</v>
      </c>
      <c r="AR33" s="88">
        <f t="shared" si="39"/>
        <v>-3.63594767229548</v>
      </c>
      <c r="AS33" s="88">
        <f t="shared" si="39"/>
        <v>-16.691364881169278</v>
      </c>
      <c r="AT33" s="88">
        <f t="shared" si="20"/>
        <v>4.023322204959882</v>
      </c>
      <c r="AU33" s="88">
        <f t="shared" si="40"/>
        <v>13.170151495578503</v>
      </c>
      <c r="AV33" s="88">
        <f t="shared" si="41"/>
        <v>10.44717621175229</v>
      </c>
      <c r="AW33" s="88">
        <f>(AA33-Y33)/Y33*100</f>
        <v>8.416211941925026</v>
      </c>
      <c r="AX33" s="88">
        <f t="shared" si="21"/>
        <v>-3.183685446009396</v>
      </c>
      <c r="AY33" s="88">
        <f t="shared" si="22"/>
        <v>4.030913774814363</v>
      </c>
      <c r="AZ33" s="88">
        <f t="shared" si="23"/>
        <v>12.28453508133042</v>
      </c>
      <c r="BA33" s="88">
        <f t="shared" si="24"/>
        <v>11.710270270270279</v>
      </c>
      <c r="BB33" s="88"/>
    </row>
    <row r="34" spans="1:54" s="12" customFormat="1" ht="15.75">
      <c r="A34" s="325" t="s">
        <v>50</v>
      </c>
      <c r="B34" s="102">
        <f t="shared" si="25"/>
        <v>1271.544</v>
      </c>
      <c r="C34" s="326">
        <f>+B34/Index!$B$13</f>
        <v>2172.5619111732285</v>
      </c>
      <c r="D34" s="102">
        <f t="shared" si="26"/>
        <v>1132.532</v>
      </c>
      <c r="E34" s="326">
        <f>+D34/Index!$B$13</f>
        <v>1935.0458076046432</v>
      </c>
      <c r="F34" s="102">
        <f t="shared" si="27"/>
        <v>1015.043</v>
      </c>
      <c r="G34" s="326">
        <f>+F34/Index!$B$13</f>
        <v>1734.303932858798</v>
      </c>
      <c r="H34" s="102">
        <f t="shared" si="28"/>
        <v>982.3009999999999</v>
      </c>
      <c r="I34" s="326">
        <f>+H34/Index!$B$13</f>
        <v>1678.360904465259</v>
      </c>
      <c r="J34" s="102">
        <f t="shared" si="29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62" ref="P34:AI34">(P7+P10+P11+P12+P13+P14+P15+P18+P17+P16+P9+P8)</f>
        <v>1049.2716203938219</v>
      </c>
      <c r="Q34" s="326">
        <f t="shared" si="62"/>
        <v>1792.787003</v>
      </c>
      <c r="R34" s="326">
        <f t="shared" si="62"/>
        <v>873.9582519591461</v>
      </c>
      <c r="S34" s="326">
        <f t="shared" si="62"/>
        <v>1493.2463290000003</v>
      </c>
      <c r="T34" s="326">
        <f t="shared" si="62"/>
        <v>907.0581260611184</v>
      </c>
      <c r="U34" s="326">
        <f t="shared" si="62"/>
        <v>1549.8008216</v>
      </c>
      <c r="V34" s="326">
        <f t="shared" si="62"/>
        <v>1023.8231227845956</v>
      </c>
      <c r="W34" s="326">
        <f t="shared" si="62"/>
        <v>1749.3056633040178</v>
      </c>
      <c r="X34" s="326">
        <f t="shared" si="62"/>
        <v>1128.2061352772917</v>
      </c>
      <c r="Y34" s="326">
        <f t="shared" si="62"/>
        <v>1927.654628904226</v>
      </c>
      <c r="Z34" s="326">
        <f t="shared" si="62"/>
        <v>1218.7745776</v>
      </c>
      <c r="AA34" s="326">
        <f t="shared" si="62"/>
        <v>2082.4000000000005</v>
      </c>
      <c r="AB34" s="326">
        <f t="shared" si="62"/>
        <v>1184.2434115999997</v>
      </c>
      <c r="AC34" s="326">
        <f t="shared" si="62"/>
        <v>2023.3999999999996</v>
      </c>
      <c r="AD34" s="326">
        <f t="shared" si="62"/>
        <v>1236.1572153999996</v>
      </c>
      <c r="AE34" s="326">
        <f t="shared" si="62"/>
        <v>2112.1</v>
      </c>
      <c r="AF34" s="326">
        <f t="shared" si="62"/>
        <v>1383.2365716</v>
      </c>
      <c r="AG34" s="326">
        <f t="shared" si="62"/>
        <v>2363.4000000000005</v>
      </c>
      <c r="AH34" s="326">
        <f t="shared" si="62"/>
        <v>1544.5966133999998</v>
      </c>
      <c r="AI34" s="326">
        <f t="shared" si="62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20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3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C35 B7:B18 T35:AE35" numberStoredAsText="1"/>
    <ignoredError sqref="AL7:BA12 AL13:AZ31 AF7:AF18 AG23 AG24:AI24 AG25:AG29 AE30 AF23:AF29 AL32:BA34 AF19:AG22 AF30:AG34 AH6:AI6 BA13:BB13 BA15:BA31 AH19:AI23 AH7:AH18 AH25:AI34 AJ7 BB7 AJ17:AK23 AJ8:AJ16 AJ24:AK24 BB9:BB12 BB8 BB24:BB27 AJ25:AK25 BB14:BB16 AJ26:AK26 AJ27:AK27 AJ28:AK28 AJ29:AK29 AJ30:AK30 AJ31:AK31 BB17:BB23 AJ32:AK32" unlockedFormula="1"/>
    <ignoredError sqref="E7:AE18 T19:AE29 T31:AE34 T30:AD30 C7:D18 B19:B34 D20:D23 D35:S35 E19:S34 C19:C34 D24:D34 D19 BA14" numberStoredAsText="1" unlockedFormula="1"/>
    <ignoredError sqref="D35:S35" numberStoredAsText="1" formula="1"/>
    <ignoredError sqref="E19:S34 C19:C34 D24:D34 D19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3" sqref="A43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70">
        <v>2003</v>
      </c>
      <c r="C4" s="370"/>
      <c r="D4" s="370">
        <v>2004</v>
      </c>
      <c r="E4" s="370"/>
      <c r="F4" s="370">
        <v>2005</v>
      </c>
      <c r="G4" s="370"/>
      <c r="H4" s="370">
        <v>2006</v>
      </c>
      <c r="I4" s="370"/>
      <c r="J4" s="370">
        <v>2007</v>
      </c>
      <c r="K4" s="370"/>
      <c r="L4" s="370">
        <v>2008</v>
      </c>
      <c r="M4" s="370"/>
      <c r="N4" s="370">
        <v>2009</v>
      </c>
      <c r="O4" s="370"/>
      <c r="P4" s="370">
        <v>2010</v>
      </c>
      <c r="Q4" s="370"/>
      <c r="R4" s="370">
        <v>2011</v>
      </c>
      <c r="S4" s="370"/>
      <c r="T4" s="370" t="s">
        <v>123</v>
      </c>
      <c r="U4" s="370"/>
      <c r="V4" s="370" t="s">
        <v>124</v>
      </c>
      <c r="W4" s="370"/>
      <c r="X4" s="370" t="s">
        <v>125</v>
      </c>
      <c r="Y4" s="370"/>
      <c r="Z4" s="370" t="s">
        <v>126</v>
      </c>
      <c r="AA4" s="370"/>
      <c r="AB4" s="370">
        <v>2016</v>
      </c>
      <c r="AC4" s="370"/>
      <c r="AD4" s="370">
        <v>2017</v>
      </c>
      <c r="AE4" s="370"/>
      <c r="AF4" s="370">
        <v>2018</v>
      </c>
      <c r="AG4" s="370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 aca="true" t="shared" si="12" ref="AF7:AF16"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3" ref="AO7:AO18">(S7-Q7)/Q7*100</f>
        <v>3.799836445861625</v>
      </c>
      <c r="AP7" s="88">
        <f aca="true" t="shared" si="14" ref="AP7:AP19">(U7-S7)/S7*100</f>
        <v>-6.026527403455806</v>
      </c>
      <c r="AQ7" s="88">
        <f aca="true" t="shared" si="15" ref="AQ7:AQ19">(W7-U7)/U7*100</f>
        <v>16.02312616147016</v>
      </c>
      <c r="AR7" s="88">
        <f aca="true" t="shared" si="16" ref="AR7:AR19">(Y7-W7)/W7*100</f>
        <v>3.4585832053350343</v>
      </c>
      <c r="AS7" s="88">
        <f aca="true" t="shared" si="17" ref="AS7:AS17">(AA7-Y7)/Y7*100</f>
        <v>-10.127097838249343</v>
      </c>
      <c r="AT7" s="88">
        <f aca="true" t="shared" si="18" ref="AT7:AT19">(AC7-AA7)/AA7*100</f>
        <v>-11.897820965842175</v>
      </c>
      <c r="AU7" s="88">
        <f aca="true" t="shared" si="19" ref="AU7:AV16">(AE7-AC7)/AC7*100</f>
        <v>-5.499757683116357</v>
      </c>
      <c r="AV7" s="88">
        <f t="shared" si="19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20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1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2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74">
        <f t="shared" si="12"/>
        <v>304.00887381999996</v>
      </c>
      <c r="AG8" s="94">
        <v>519.43</v>
      </c>
      <c r="AH8" s="88">
        <f aca="true" t="shared" si="23" ref="AH8:AH18">(D8-B8)/B8*100</f>
        <v>-16.72951917828611</v>
      </c>
      <c r="AI8" s="88">
        <f aca="true" t="shared" si="24" ref="AI8:AI18">(F8-D8)/D8*100</f>
        <v>-3.6587909304889235</v>
      </c>
      <c r="AJ8" s="88">
        <f aca="true" t="shared" si="25" ref="AJ8:AJ18">(H8-F8)/F8*100</f>
        <v>7.86145044069892</v>
      </c>
      <c r="AK8" s="88">
        <f aca="true" t="shared" si="26" ref="AK8:AK18">(J8-H8)/H8*100</f>
        <v>2.480144507841854</v>
      </c>
      <c r="AL8" s="88">
        <f aca="true" t="shared" si="27" ref="AL8:AL18">(M8-K8)/K8*100</f>
        <v>-5.130002618767837</v>
      </c>
      <c r="AM8" s="88">
        <f aca="true" t="shared" si="28" ref="AM8:AM18">(O8-M8)/M8*100</f>
        <v>10.549571941452637</v>
      </c>
      <c r="AN8" s="88">
        <f aca="true" t="shared" si="29" ref="AN8:AN16">(Q8-O8)/O8*100</f>
        <v>-4.109993261657705</v>
      </c>
      <c r="AO8" s="88">
        <f t="shared" si="13"/>
        <v>-3.5095144379774803</v>
      </c>
      <c r="AP8" s="88">
        <f t="shared" si="14"/>
        <v>-1.5022569004447701</v>
      </c>
      <c r="AQ8" s="88">
        <f t="shared" si="15"/>
        <v>14.729120944424437</v>
      </c>
      <c r="AR8" s="88">
        <f t="shared" si="16"/>
        <v>3.411562838091733</v>
      </c>
      <c r="AS8" s="88">
        <f t="shared" si="17"/>
        <v>-11.940477874945365</v>
      </c>
      <c r="AT8" s="88">
        <f t="shared" si="18"/>
        <v>-6.457537346473606</v>
      </c>
      <c r="AU8" s="88">
        <f t="shared" si="19"/>
        <v>-0.6415987378385628</v>
      </c>
      <c r="AV8" s="88">
        <f t="shared" si="19"/>
        <v>-8.355828437340104</v>
      </c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20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1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2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74">
        <f t="shared" si="12"/>
        <v>335.05765952</v>
      </c>
      <c r="AG9" s="94">
        <v>572.48</v>
      </c>
      <c r="AH9" s="88">
        <f t="shared" si="23"/>
        <v>-9.010100031486907</v>
      </c>
      <c r="AI9" s="88">
        <f t="shared" si="24"/>
        <v>-7.562488354140609</v>
      </c>
      <c r="AJ9" s="88">
        <f t="shared" si="25"/>
        <v>4.610378390831075</v>
      </c>
      <c r="AK9" s="88">
        <f t="shared" si="26"/>
        <v>5.789082500619382</v>
      </c>
      <c r="AL9" s="88">
        <f t="shared" si="27"/>
        <v>-5.218507962529274</v>
      </c>
      <c r="AM9" s="88">
        <f t="shared" si="28"/>
        <v>1.9105005222141858</v>
      </c>
      <c r="AN9" s="88">
        <f t="shared" si="29"/>
        <v>-0.40390868050006606</v>
      </c>
      <c r="AO9" s="88">
        <f t="shared" si="13"/>
        <v>6.293932535462927</v>
      </c>
      <c r="AP9" s="88">
        <f t="shared" si="14"/>
        <v>-1.2893693549189007</v>
      </c>
      <c r="AQ9" s="88">
        <f t="shared" si="15"/>
        <v>7.538471059583564</v>
      </c>
      <c r="AR9" s="88">
        <f t="shared" si="16"/>
        <v>2.1714058666421776</v>
      </c>
      <c r="AS9" s="88">
        <f t="shared" si="17"/>
        <v>-8.37636778279819</v>
      </c>
      <c r="AT9" s="88">
        <f t="shared" si="18"/>
        <v>-11.51494259764396</v>
      </c>
      <c r="AU9" s="88">
        <f t="shared" si="19"/>
        <v>3.5603584071545895</v>
      </c>
      <c r="AV9" s="88">
        <f t="shared" si="19"/>
        <v>-6.367249472530685</v>
      </c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20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1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2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74">
        <f t="shared" si="12"/>
        <v>337.93135485999994</v>
      </c>
      <c r="AG10" s="94">
        <v>577.39</v>
      </c>
      <c r="AH10" s="88">
        <f t="shared" si="23"/>
        <v>-4.532441539358007</v>
      </c>
      <c r="AI10" s="88">
        <f t="shared" si="24"/>
        <v>-10.41876758133857</v>
      </c>
      <c r="AJ10" s="88">
        <f t="shared" si="25"/>
        <v>6.7899040170636376</v>
      </c>
      <c r="AK10" s="88">
        <f t="shared" si="26"/>
        <v>6.053040390590322</v>
      </c>
      <c r="AL10" s="88">
        <f t="shared" si="27"/>
        <v>-9.391991394193042</v>
      </c>
      <c r="AM10" s="88">
        <f t="shared" si="28"/>
        <v>0.07265354397228183</v>
      </c>
      <c r="AN10" s="88">
        <f t="shared" si="29"/>
        <v>7.6492672661824965</v>
      </c>
      <c r="AO10" s="88">
        <f t="shared" si="13"/>
        <v>7.327545210158992</v>
      </c>
      <c r="AP10" s="88">
        <f t="shared" si="14"/>
        <v>-11.662121914995376</v>
      </c>
      <c r="AQ10" s="88">
        <f t="shared" si="15"/>
        <v>12.420693866026056</v>
      </c>
      <c r="AR10" s="88">
        <f t="shared" si="16"/>
        <v>8.038181175586008</v>
      </c>
      <c r="AS10" s="88">
        <f t="shared" si="17"/>
        <v>-11.781276105778025</v>
      </c>
      <c r="AT10" s="88">
        <f t="shared" si="18"/>
        <v>-5.610535579194397</v>
      </c>
      <c r="AU10" s="88">
        <f t="shared" si="19"/>
        <v>8.29121481263391</v>
      </c>
      <c r="AV10" s="88">
        <f t="shared" si="19"/>
        <v>-12.788871099296134</v>
      </c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20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1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2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74">
        <f t="shared" si="12"/>
        <v>382.85113435999995</v>
      </c>
      <c r="AG11" s="94">
        <v>654.14</v>
      </c>
      <c r="AH11" s="88">
        <f t="shared" si="23"/>
        <v>-4.847347347347348</v>
      </c>
      <c r="AI11" s="88">
        <f t="shared" si="24"/>
        <v>-2.4511479893748502</v>
      </c>
      <c r="AJ11" s="88">
        <f t="shared" si="25"/>
        <v>6.3762098622307235</v>
      </c>
      <c r="AK11" s="88">
        <f t="shared" si="26"/>
        <v>11.161800486618011</v>
      </c>
      <c r="AL11" s="88">
        <f t="shared" si="27"/>
        <v>-5.993199379844966</v>
      </c>
      <c r="AM11" s="88">
        <f t="shared" si="28"/>
        <v>-8.951283215989106</v>
      </c>
      <c r="AN11" s="88">
        <f t="shared" si="29"/>
        <v>-0.44028471995101925</v>
      </c>
      <c r="AO11" s="88">
        <f t="shared" si="13"/>
        <v>9.534053036632228</v>
      </c>
      <c r="AP11" s="88">
        <f t="shared" si="14"/>
        <v>10.695911608759703</v>
      </c>
      <c r="AQ11" s="88">
        <f t="shared" si="15"/>
        <v>-5.494033491135361</v>
      </c>
      <c r="AR11" s="88">
        <f t="shared" si="16"/>
        <v>4.442930927281006</v>
      </c>
      <c r="AS11" s="88">
        <f t="shared" si="17"/>
        <v>-7.588589709072177</v>
      </c>
      <c r="AT11" s="88">
        <f t="shared" si="18"/>
        <v>-5.044812890254435</v>
      </c>
      <c r="AU11" s="88">
        <f t="shared" si="19"/>
        <v>3.793391387331512</v>
      </c>
      <c r="AV11" s="88">
        <f t="shared" si="19"/>
        <v>-6.02516952074476</v>
      </c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20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1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2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74">
        <f t="shared" si="12"/>
        <v>409.62156711999995</v>
      </c>
      <c r="AG12" s="94">
        <v>699.88</v>
      </c>
      <c r="AH12" s="88">
        <f t="shared" si="23"/>
        <v>-5.754212905877515</v>
      </c>
      <c r="AI12" s="88">
        <f t="shared" si="24"/>
        <v>-2.8613655085526</v>
      </c>
      <c r="AJ12" s="88">
        <f t="shared" si="25"/>
        <v>4.761429676003286</v>
      </c>
      <c r="AK12" s="88">
        <f t="shared" si="26"/>
        <v>2.3284605494976502</v>
      </c>
      <c r="AL12" s="88">
        <f t="shared" si="27"/>
        <v>1.7543377757096277</v>
      </c>
      <c r="AM12" s="88">
        <f t="shared" si="28"/>
        <v>-10.061024570419152</v>
      </c>
      <c r="AN12" s="88">
        <f t="shared" si="29"/>
        <v>5.566467279707181</v>
      </c>
      <c r="AO12" s="88">
        <f t="shared" si="13"/>
        <v>3.0689120871592954</v>
      </c>
      <c r="AP12" s="88">
        <f t="shared" si="14"/>
        <v>5.454811996145835</v>
      </c>
      <c r="AQ12" s="88">
        <f t="shared" si="15"/>
        <v>9.319955150818336</v>
      </c>
      <c r="AR12" s="88">
        <f t="shared" si="16"/>
        <v>5.1007815880653435</v>
      </c>
      <c r="AS12" s="88">
        <f t="shared" si="17"/>
        <v>-13.253910077781066</v>
      </c>
      <c r="AT12" s="88">
        <f t="shared" si="18"/>
        <v>-5.20967511092029</v>
      </c>
      <c r="AU12" s="88">
        <f t="shared" si="19"/>
        <v>0.8729908171248973</v>
      </c>
      <c r="AV12" s="88">
        <f t="shared" si="19"/>
        <v>-4.763978282464041</v>
      </c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20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1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2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74">
        <f t="shared" si="12"/>
        <v>462.74103535999996</v>
      </c>
      <c r="AG13" s="94">
        <v>790.64</v>
      </c>
      <c r="AH13" s="88">
        <f t="shared" si="23"/>
        <v>-7.835524942600713</v>
      </c>
      <c r="AI13" s="88">
        <f t="shared" si="24"/>
        <v>-6.3977715372769275</v>
      </c>
      <c r="AJ13" s="88">
        <f t="shared" si="25"/>
        <v>9.844910599791923</v>
      </c>
      <c r="AK13" s="88">
        <f t="shared" si="26"/>
        <v>5.0814977973568265</v>
      </c>
      <c r="AL13" s="88">
        <f t="shared" si="27"/>
        <v>-2.2588616890603004</v>
      </c>
      <c r="AM13" s="88">
        <f t="shared" si="28"/>
        <v>-4.030324710371404</v>
      </c>
      <c r="AN13" s="88">
        <f t="shared" si="29"/>
        <v>-1.2582044674492316</v>
      </c>
      <c r="AO13" s="88">
        <f>(S13-Q13)/Q13*100</f>
        <v>1.227754654416692</v>
      </c>
      <c r="AP13" s="88">
        <f t="shared" si="14"/>
        <v>6.22191561710555</v>
      </c>
      <c r="AQ13" s="88">
        <f t="shared" si="15"/>
        <v>15.399055103441786</v>
      </c>
      <c r="AR13" s="88">
        <f t="shared" si="16"/>
        <v>-10.230856156744757</v>
      </c>
      <c r="AS13" s="88">
        <f t="shared" si="17"/>
        <v>-1.8545215726425015</v>
      </c>
      <c r="AT13" s="88">
        <f t="shared" si="18"/>
        <v>1.0758811199825529</v>
      </c>
      <c r="AU13" s="88">
        <f>(AE13-AC13)/AC13*100</f>
        <v>-3.910098891219659</v>
      </c>
      <c r="AV13" s="88">
        <f t="shared" si="19"/>
        <v>-1.3709566757731095</v>
      </c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20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1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2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74">
        <f t="shared" si="12"/>
        <v>468.59962809999996</v>
      </c>
      <c r="AG14" s="94">
        <v>800.65</v>
      </c>
      <c r="AH14" s="88">
        <f t="shared" si="23"/>
        <v>-4.708754109332864</v>
      </c>
      <c r="AI14" s="88">
        <f t="shared" si="24"/>
        <v>-0.9915921251058755</v>
      </c>
      <c r="AJ14" s="88">
        <f t="shared" si="25"/>
        <v>2.710372024120018</v>
      </c>
      <c r="AK14" s="88">
        <f t="shared" si="26"/>
        <v>6.8337870231178615</v>
      </c>
      <c r="AL14" s="88">
        <f t="shared" si="27"/>
        <v>-5.701774922989154</v>
      </c>
      <c r="AM14" s="88">
        <f t="shared" si="28"/>
        <v>-4.980408818392112</v>
      </c>
      <c r="AN14" s="88">
        <f t="shared" si="29"/>
        <v>-1.5819529761667013</v>
      </c>
      <c r="AO14" s="88">
        <f t="shared" si="13"/>
        <v>-0.01716152444919352</v>
      </c>
      <c r="AP14" s="88">
        <f t="shared" si="14"/>
        <v>8.347812420991426</v>
      </c>
      <c r="AQ14" s="88">
        <f t="shared" si="15"/>
        <v>15.58642859670885</v>
      </c>
      <c r="AR14" s="88">
        <f t="shared" si="16"/>
        <v>-12.396637648247717</v>
      </c>
      <c r="AS14" s="88">
        <f t="shared" si="17"/>
        <v>5.159160699104686</v>
      </c>
      <c r="AT14" s="88">
        <f t="shared" si="18"/>
        <v>-6.4418721690991445</v>
      </c>
      <c r="AU14" s="88">
        <f>(AE14-AC14)/AC14*100</f>
        <v>-5.39443833758215</v>
      </c>
      <c r="AV14" s="88">
        <f t="shared" si="19"/>
        <v>-1.0333617631426104</v>
      </c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20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1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2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74">
        <f t="shared" si="12"/>
        <v>426.21408501999997</v>
      </c>
      <c r="AG15" s="94">
        <v>728.23</v>
      </c>
      <c r="AH15" s="88">
        <f t="shared" si="23"/>
        <v>-0.3064132507660346</v>
      </c>
      <c r="AI15" s="88">
        <f t="shared" si="24"/>
        <v>-2.1278424966685248</v>
      </c>
      <c r="AJ15" s="88">
        <f t="shared" si="25"/>
        <v>4.3547962052002775</v>
      </c>
      <c r="AK15" s="88">
        <f t="shared" si="26"/>
        <v>2.7083903280792954</v>
      </c>
      <c r="AL15" s="88">
        <f t="shared" si="27"/>
        <v>-2.8420696635659564</v>
      </c>
      <c r="AM15" s="88">
        <f t="shared" si="28"/>
        <v>-10.50851641569984</v>
      </c>
      <c r="AN15" s="88">
        <f t="shared" si="29"/>
        <v>5.193470991428728</v>
      </c>
      <c r="AO15" s="88">
        <f t="shared" si="13"/>
        <v>1.6070934955644434</v>
      </c>
      <c r="AP15" s="88">
        <f t="shared" si="14"/>
        <v>11.533923205866934</v>
      </c>
      <c r="AQ15" s="88">
        <f t="shared" si="15"/>
        <v>14.302681609040228</v>
      </c>
      <c r="AR15" s="88">
        <f t="shared" si="16"/>
        <v>-12.588844951347738</v>
      </c>
      <c r="AS15" s="88">
        <f t="shared" si="17"/>
        <v>3.033929806403375</v>
      </c>
      <c r="AT15" s="88">
        <f t="shared" si="18"/>
        <v>-10.068441577415395</v>
      </c>
      <c r="AU15" s="88">
        <f>(AE15-AC15)/AC15*100</f>
        <v>-4.16510459623604</v>
      </c>
      <c r="AV15" s="88">
        <f t="shared" si="19"/>
        <v>-5.0411401895969385</v>
      </c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20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1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2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74">
        <f t="shared" si="12"/>
        <v>396.58166239999997</v>
      </c>
      <c r="AG16" s="94">
        <v>677.6</v>
      </c>
      <c r="AH16" s="88">
        <f t="shared" si="23"/>
        <v>0.5103645115255336</v>
      </c>
      <c r="AI16" s="88">
        <f t="shared" si="24"/>
        <v>-0.8109929248688464</v>
      </c>
      <c r="AJ16" s="88">
        <f t="shared" si="25"/>
        <v>5.313341582356789</v>
      </c>
      <c r="AK16" s="88">
        <f t="shared" si="26"/>
        <v>1.1127237542331847</v>
      </c>
      <c r="AL16" s="88">
        <f t="shared" si="27"/>
        <v>-1.1288324082934598</v>
      </c>
      <c r="AM16" s="88">
        <f t="shared" si="28"/>
        <v>-8.537440656020726</v>
      </c>
      <c r="AN16" s="88">
        <f t="shared" si="29"/>
        <v>7.0865262723981095</v>
      </c>
      <c r="AO16" s="88">
        <f t="shared" si="13"/>
        <v>0.025524552808065582</v>
      </c>
      <c r="AP16" s="88">
        <f t="shared" si="14"/>
        <v>11.145918801247937</v>
      </c>
      <c r="AQ16" s="88">
        <f t="shared" si="15"/>
        <v>11.659322728927059</v>
      </c>
      <c r="AR16" s="88">
        <f t="shared" si="16"/>
        <v>-4.207795873995047</v>
      </c>
      <c r="AS16" s="88">
        <f t="shared" si="17"/>
        <v>-3.2844336269376955</v>
      </c>
      <c r="AT16" s="88">
        <f t="shared" si="18"/>
        <v>-10.830000718408</v>
      </c>
      <c r="AU16" s="88">
        <f>(AE16-AC16)/AC16*100</f>
        <v>-8.550749936218503</v>
      </c>
      <c r="AV16" s="88">
        <f t="shared" si="19"/>
        <v>-0.5065707363629636</v>
      </c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20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1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2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3"/>
        <v>-3.861219921656409</v>
      </c>
      <c r="AI17" s="88">
        <f t="shared" si="24"/>
        <v>8.77341517620913</v>
      </c>
      <c r="AJ17" s="88">
        <f t="shared" si="25"/>
        <v>-4.380716092625022</v>
      </c>
      <c r="AK17" s="88">
        <f t="shared" si="26"/>
        <v>6.509628348299451</v>
      </c>
      <c r="AL17" s="88">
        <f t="shared" si="27"/>
        <v>3.3643926534511577</v>
      </c>
      <c r="AM17" s="88">
        <f t="shared" si="28"/>
        <v>-8.000432748221687</v>
      </c>
      <c r="AN17" s="88">
        <f>(Q17-O17)/O17*100</f>
        <v>-0.9602942248890287</v>
      </c>
      <c r="AO17" s="88">
        <f t="shared" si="13"/>
        <v>3.4843980434700175</v>
      </c>
      <c r="AP17" s="88">
        <f t="shared" si="14"/>
        <v>7.245572877436119</v>
      </c>
      <c r="AQ17" s="88">
        <f t="shared" si="15"/>
        <v>-2.975841199260205</v>
      </c>
      <c r="AR17" s="88">
        <f t="shared" si="16"/>
        <v>10.075780929534016</v>
      </c>
      <c r="AS17" s="88">
        <f t="shared" si="17"/>
        <v>-5.1541692318479555</v>
      </c>
      <c r="AT17" s="88">
        <f t="shared" si="18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20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1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2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3"/>
        <v>-6.57081566985034</v>
      </c>
      <c r="AI18" s="88">
        <f t="shared" si="24"/>
        <v>9.59956266229329</v>
      </c>
      <c r="AJ18" s="88">
        <f t="shared" si="25"/>
        <v>0.9851111055689923</v>
      </c>
      <c r="AK18" s="88">
        <f t="shared" si="26"/>
        <v>0.6840857453324068</v>
      </c>
      <c r="AL18" s="88">
        <f t="shared" si="27"/>
        <v>2.6716652505580263</v>
      </c>
      <c r="AM18" s="88">
        <f t="shared" si="28"/>
        <v>-9.868706217928109</v>
      </c>
      <c r="AN18" s="88">
        <f>(Q18-O18)/O18*100</f>
        <v>3.5941125014998168</v>
      </c>
      <c r="AO18" s="88">
        <f t="shared" si="13"/>
        <v>-4.5576330936188745</v>
      </c>
      <c r="AP18" s="88">
        <f t="shared" si="14"/>
        <v>19.13937729295696</v>
      </c>
      <c r="AQ18" s="88">
        <f t="shared" si="15"/>
        <v>-9.62124077266209</v>
      </c>
      <c r="AR18" s="88">
        <f t="shared" si="16"/>
        <v>11.899456640579784</v>
      </c>
      <c r="AS18" s="88">
        <f>(Z18-X18)/X18*100</f>
        <v>-12.589962469406851</v>
      </c>
      <c r="AT18" s="88">
        <f t="shared" si="18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30" ref="C19:N19">SUM(C7:C18)/12</f>
        <v>730.5438706201427</v>
      </c>
      <c r="D19" s="78">
        <f t="shared" si="30"/>
        <v>401.40833333333336</v>
      </c>
      <c r="E19" s="78">
        <f t="shared" si="30"/>
        <v>685.8468569137418</v>
      </c>
      <c r="F19" s="78">
        <f t="shared" si="30"/>
        <v>391.9683333333334</v>
      </c>
      <c r="G19" s="78">
        <f t="shared" si="30"/>
        <v>669.7176593071507</v>
      </c>
      <c r="H19" s="78">
        <f t="shared" si="30"/>
        <v>410.56</v>
      </c>
      <c r="I19" s="78">
        <f t="shared" si="30"/>
        <v>701.4834077714027</v>
      </c>
      <c r="J19" s="78">
        <f t="shared" si="30"/>
        <v>427.37416666666667</v>
      </c>
      <c r="K19" s="78">
        <f t="shared" si="30"/>
        <v>730.2121171736086</v>
      </c>
      <c r="L19" s="78">
        <f t="shared" si="30"/>
        <v>419.05423308666667</v>
      </c>
      <c r="M19" s="78">
        <f>SUM(M7:M18)/12</f>
        <v>715.9966666666666</v>
      </c>
      <c r="N19" s="78">
        <f t="shared" si="30"/>
        <v>397.0703661899999</v>
      </c>
      <c r="O19" s="96">
        <f aca="true" t="shared" si="31" ref="O19:X19">SUM(O7:O18)/12</f>
        <v>678.4350000000001</v>
      </c>
      <c r="P19" s="96">
        <f t="shared" si="31"/>
        <v>402.6073604515557</v>
      </c>
      <c r="Q19" s="96">
        <f t="shared" si="31"/>
        <v>687.8955163761857</v>
      </c>
      <c r="R19" s="96">
        <f t="shared" si="31"/>
        <v>411.7144027708887</v>
      </c>
      <c r="S19" s="96">
        <f t="shared" si="31"/>
        <v>703.4558220096719</v>
      </c>
      <c r="T19" s="96">
        <f t="shared" si="31"/>
        <v>432.8574145555071</v>
      </c>
      <c r="U19" s="96">
        <f t="shared" si="31"/>
        <v>739.5808024199042</v>
      </c>
      <c r="V19" s="96">
        <f t="shared" si="31"/>
        <v>468.09473276199805</v>
      </c>
      <c r="W19" s="96">
        <f t="shared" si="31"/>
        <v>799.787335097746</v>
      </c>
      <c r="X19" s="96">
        <f t="shared" si="31"/>
        <v>466.5017765092776</v>
      </c>
      <c r="Y19" s="96">
        <f aca="true" t="shared" si="32" ref="Y19:AE19">SUM(Y7:Y18)/12</f>
        <v>797.0656077482982</v>
      </c>
      <c r="Z19" s="96">
        <f t="shared" si="32"/>
        <v>437.58400792666663</v>
      </c>
      <c r="AA19" s="96">
        <f t="shared" si="32"/>
        <v>747.6566666666668</v>
      </c>
      <c r="AB19" s="96">
        <f t="shared" si="32"/>
        <v>402.7406957933333</v>
      </c>
      <c r="AC19" s="96">
        <f t="shared" si="32"/>
        <v>688.1233333333334</v>
      </c>
      <c r="AD19" s="96">
        <f t="shared" si="32"/>
        <v>393.9957267766667</v>
      </c>
      <c r="AE19" s="96">
        <f t="shared" si="32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4"/>
        <v>5.135358792969889</v>
      </c>
      <c r="AQ19" s="79">
        <f t="shared" si="15"/>
        <v>8.140629459397315</v>
      </c>
      <c r="AR19" s="79">
        <f t="shared" si="16"/>
        <v>-0.34030638271048774</v>
      </c>
      <c r="AS19" s="79">
        <f>(Z19-X19)/X19*100</f>
        <v>-6.1988549752148385</v>
      </c>
      <c r="AT19" s="79">
        <f t="shared" si="18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3" ref="T23:AA23">T7</f>
        <v>368.48265766</v>
      </c>
      <c r="U23" s="100">
        <f t="shared" si="33"/>
        <v>629.59</v>
      </c>
      <c r="V23" s="100">
        <f t="shared" si="33"/>
        <v>427.52509878</v>
      </c>
      <c r="W23" s="100">
        <f t="shared" si="33"/>
        <v>730.47</v>
      </c>
      <c r="X23" s="100">
        <f t="shared" si="33"/>
        <v>442.3114100449971</v>
      </c>
      <c r="Y23" s="100">
        <f t="shared" si="33"/>
        <v>755.7339127400109</v>
      </c>
      <c r="Z23" s="100">
        <f t="shared" si="33"/>
        <v>397.5181008</v>
      </c>
      <c r="AA23" s="100">
        <f t="shared" si="33"/>
        <v>679.2</v>
      </c>
      <c r="AB23" s="100">
        <f aca="true" t="shared" si="34" ref="AB23:AG23">AB7</f>
        <v>350.22210886</v>
      </c>
      <c r="AC23" s="100">
        <f t="shared" si="34"/>
        <v>598.39</v>
      </c>
      <c r="AD23" s="100">
        <f t="shared" si="34"/>
        <v>330.96074152</v>
      </c>
      <c r="AE23" s="100">
        <f t="shared" si="34"/>
        <v>565.48</v>
      </c>
      <c r="AF23" s="100">
        <f t="shared" si="34"/>
        <v>296.43542826</v>
      </c>
      <c r="AG23" s="100">
        <f t="shared" si="34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5" ref="AN23:AO34">(Q23-O23)/O23*100</f>
        <v>-2.635079463837987</v>
      </c>
      <c r="AO23" s="88">
        <f aca="true" t="shared" si="36" ref="AO23:AO33">(S23-Q23)/Q23*100</f>
        <v>3.8000668167145486</v>
      </c>
      <c r="AP23" s="88">
        <f aca="true" t="shared" si="37" ref="AP23:AP34">(U23-S23)/S23*100</f>
        <v>-6.0265272288668434</v>
      </c>
      <c r="AQ23" s="88">
        <f>(W23-U23)/U23*100</f>
        <v>16.02312616147016</v>
      </c>
      <c r="AR23" s="88">
        <f aca="true" t="shared" si="38" ref="AR23:AS33">(Y23-W23)/W23*100</f>
        <v>3.4585832053350343</v>
      </c>
      <c r="AS23" s="88">
        <f t="shared" si="38"/>
        <v>-10.127097838249345</v>
      </c>
      <c r="AT23" s="88">
        <f aca="true" t="shared" si="39" ref="AT23:AT28">(AC23-AA23)/AA23*100</f>
        <v>-11.897820965842175</v>
      </c>
      <c r="AU23" s="88">
        <f aca="true" t="shared" si="40" ref="AU23:AV33">(AE23-AC23)/AC23*100</f>
        <v>-5.499757683116357</v>
      </c>
      <c r="AV23" s="88">
        <f t="shared" si="40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>
        <f>'E1'!AJ24/A!AD25*1000</f>
        <v>300.64315019058574</v>
      </c>
      <c r="AG24" s="100">
        <f>'E1'!AK24/A!AD25*1000</f>
        <v>513.6793197555088</v>
      </c>
      <c r="AH24" s="88">
        <f aca="true" t="shared" si="41" ref="AH24:AH33">(D24-B24)/B24*100</f>
        <v>-13.983493786859738</v>
      </c>
      <c r="AI24" s="88">
        <f aca="true" t="shared" si="42" ref="AI24:AI33">(F24-D24)/D24*100</f>
        <v>-5.9006694543206155</v>
      </c>
      <c r="AJ24" s="88">
        <f aca="true" t="shared" si="43" ref="AJ24:AJ33">(H24-F24)/F24*100</f>
        <v>8.858944753448677</v>
      </c>
      <c r="AK24" s="88">
        <f aca="true" t="shared" si="44" ref="AK24:AK33">(J24-H24)/H24*100</f>
        <v>0.49497838618421475</v>
      </c>
      <c r="AL24" s="88">
        <f aca="true" t="shared" si="45" ref="AL24:AL33">(M24-K24)/K24*100</f>
        <v>0.08419423600712572</v>
      </c>
      <c r="AM24" s="88">
        <f aca="true" t="shared" si="46" ref="AM24:AM33">(O24-M24)/M24*100</f>
        <v>3.5381258535696283</v>
      </c>
      <c r="AN24" s="88">
        <f t="shared" si="35"/>
        <v>-3.427415954303972</v>
      </c>
      <c r="AO24" s="88">
        <f t="shared" si="36"/>
        <v>-0.5643266996431494</v>
      </c>
      <c r="AP24" s="88">
        <f t="shared" si="37"/>
        <v>-3.2227400180363817</v>
      </c>
      <c r="AQ24" s="88">
        <f aca="true" t="shared" si="47" ref="AQ24:AQ34">(W24-U24)/U24*100</f>
        <v>15.707168616003923</v>
      </c>
      <c r="AR24" s="88">
        <f t="shared" si="38"/>
        <v>3.1582107706645033</v>
      </c>
      <c r="AS24" s="88">
        <f t="shared" si="38"/>
        <v>-11.184863523573242</v>
      </c>
      <c r="AT24" s="88">
        <f t="shared" si="39"/>
        <v>-9.200226885989784</v>
      </c>
      <c r="AU24" s="88">
        <f t="shared" si="40"/>
        <v>-2.7196455632147964</v>
      </c>
      <c r="AV24" s="88">
        <f t="shared" si="40"/>
        <v>-9.27922062561852</v>
      </c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>
        <f>'E1'!AJ25/A!AD26*1000</f>
        <v>318.58823780986256</v>
      </c>
      <c r="AG25" s="100">
        <f>'E1'!AK25/A!AD26*1000</f>
        <v>544.340322327427</v>
      </c>
      <c r="AH25" s="88">
        <f t="shared" si="41"/>
        <v>-11.735997105580303</v>
      </c>
      <c r="AI25" s="88">
        <f t="shared" si="42"/>
        <v>-6.52238407948183</v>
      </c>
      <c r="AJ25" s="88">
        <f t="shared" si="43"/>
        <v>6.684224672568698</v>
      </c>
      <c r="AK25" s="88">
        <f t="shared" si="44"/>
        <v>3.0148468391836847</v>
      </c>
      <c r="AL25" s="88">
        <f t="shared" si="45"/>
        <v>-2.5081422723336577</v>
      </c>
      <c r="AM25" s="88">
        <f t="shared" si="46"/>
        <v>2.7905325956500913</v>
      </c>
      <c r="AN25" s="88">
        <f t="shared" si="35"/>
        <v>-2.017335357140906</v>
      </c>
      <c r="AO25" s="88">
        <f t="shared" si="36"/>
        <v>2.7306033537572394</v>
      </c>
      <c r="AP25" s="88">
        <f t="shared" si="37"/>
        <v>-2.2763135425403362</v>
      </c>
      <c r="AQ25" s="88">
        <f t="shared" si="47"/>
        <v>11.684185670133337</v>
      </c>
      <c r="AR25" s="88">
        <f t="shared" si="38"/>
        <v>2.6392672449140444</v>
      </c>
      <c r="AS25" s="88">
        <f t="shared" si="38"/>
        <v>-9.765220667219108</v>
      </c>
      <c r="AT25" s="88">
        <f t="shared" si="39"/>
        <v>-10.336710416972936</v>
      </c>
      <c r="AU25" s="88">
        <f t="shared" si="40"/>
        <v>0.3012168851023861</v>
      </c>
      <c r="AV25" s="88">
        <f aca="true" t="shared" si="48" ref="AV25:AV32">(AF25-AD25)/AD25*100</f>
        <v>-7.487079294057321</v>
      </c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>
        <f>'E1'!AJ26/A!AD27*1000</f>
        <v>327.49199436496923</v>
      </c>
      <c r="AG26" s="100">
        <f>'E1'!AK26/A!AD27*1000</f>
        <v>559.5532936111449</v>
      </c>
      <c r="AH26" s="88">
        <f>(D26-B26)/B26*100</f>
        <v>-8.715666011893797</v>
      </c>
      <c r="AI26" s="88">
        <f t="shared" si="42"/>
        <v>-8.225692117238923</v>
      </c>
      <c r="AJ26" s="88">
        <f t="shared" si="43"/>
        <v>6.643965688451978</v>
      </c>
      <c r="AK26" s="88">
        <f t="shared" si="44"/>
        <v>4.446087830960813</v>
      </c>
      <c r="AL26" s="88">
        <f t="shared" si="45"/>
        <v>-5.638392488971647</v>
      </c>
      <c r="AM26" s="88">
        <f t="shared" si="46"/>
        <v>1.290214313098029</v>
      </c>
      <c r="AN26" s="88">
        <f t="shared" si="35"/>
        <v>2.3594654149334304</v>
      </c>
      <c r="AO26" s="88">
        <f t="shared" si="36"/>
        <v>5.118559597573729</v>
      </c>
      <c r="AP26" s="88">
        <f t="shared" si="37"/>
        <v>-7.019926269983125</v>
      </c>
      <c r="AQ26" s="88">
        <f t="shared" si="47"/>
        <v>12.092267088468526</v>
      </c>
      <c r="AR26" s="88">
        <f t="shared" si="38"/>
        <v>5.231311061913683</v>
      </c>
      <c r="AS26" s="88">
        <f t="shared" si="38"/>
        <v>-10.828287669940947</v>
      </c>
      <c r="AT26" s="88">
        <f t="shared" si="39"/>
        <v>-8.075024227003656</v>
      </c>
      <c r="AU26" s="88">
        <f t="shared" si="40"/>
        <v>4.516182902739352</v>
      </c>
      <c r="AV26" s="88">
        <f t="shared" si="48"/>
        <v>-10.51777656566352</v>
      </c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>
        <f>'E1'!AJ27/A!AD28*1000</f>
        <v>349.48941058623933</v>
      </c>
      <c r="AG27" s="100">
        <f>'E1'!AK27/A!AD28*1000</f>
        <v>597.1381106733587</v>
      </c>
      <c r="AH27" s="88">
        <f>(D27-B27)/B27*100</f>
        <v>-7.290426269660415</v>
      </c>
      <c r="AI27" s="88">
        <f t="shared" si="42"/>
        <v>-5.9348980494336825</v>
      </c>
      <c r="AJ27" s="88">
        <f t="shared" si="43"/>
        <v>6.615543681685778</v>
      </c>
      <c r="AK27" s="88">
        <f t="shared" si="44"/>
        <v>7.341089967157129</v>
      </c>
      <c r="AL27" s="88">
        <f t="shared" si="45"/>
        <v>-5.843504960198922</v>
      </c>
      <c r="AM27" s="88">
        <f t="shared" si="46"/>
        <v>-3.1446196103494417</v>
      </c>
      <c r="AN27" s="88">
        <f t="shared" si="35"/>
        <v>1.2529802836811037</v>
      </c>
      <c r="AO27" s="88">
        <f t="shared" si="36"/>
        <v>6.854477263800011</v>
      </c>
      <c r="AP27" s="88">
        <f t="shared" si="37"/>
        <v>0.6808798952076193</v>
      </c>
      <c r="AQ27" s="88">
        <f t="shared" si="47"/>
        <v>3.9520266392282353</v>
      </c>
      <c r="AR27" s="88">
        <f t="shared" si="38"/>
        <v>4.9391679909094295</v>
      </c>
      <c r="AS27" s="88">
        <f t="shared" si="38"/>
        <v>-9.463646842706313</v>
      </c>
      <c r="AT27" s="88">
        <f t="shared" si="39"/>
        <v>-6.750400904244853</v>
      </c>
      <c r="AU27" s="88">
        <f t="shared" si="40"/>
        <v>4.075654985009604</v>
      </c>
      <c r="AV27" s="88">
        <f t="shared" si="48"/>
        <v>-8.869660200509204</v>
      </c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>
        <f>'E1'!AJ28/A!AD29*1000</f>
        <v>368.17337675797154</v>
      </c>
      <c r="AG28" s="100">
        <f>'E1'!AK28/A!AD29*1000</f>
        <v>629.061562205004</v>
      </c>
      <c r="AH28" s="88">
        <f t="shared" si="41"/>
        <v>-6.982537282270942</v>
      </c>
      <c r="AI28" s="88">
        <f t="shared" si="42"/>
        <v>-5.002231746954902</v>
      </c>
      <c r="AJ28" s="88">
        <f t="shared" si="43"/>
        <v>6.090207487894734</v>
      </c>
      <c r="AK28" s="88">
        <f t="shared" si="44"/>
        <v>5.903397834042184</v>
      </c>
      <c r="AL28" s="88">
        <f t="shared" si="45"/>
        <v>-3.2668183363834222</v>
      </c>
      <c r="AM28" s="88">
        <f t="shared" si="46"/>
        <v>-5.605291368620128</v>
      </c>
      <c r="AN28" s="88">
        <f t="shared" si="35"/>
        <v>2.7982402699352917</v>
      </c>
      <c r="AO28" s="88">
        <f t="shared" si="36"/>
        <v>5.539287111426902</v>
      </c>
      <c r="AP28" s="88">
        <f t="shared" si="37"/>
        <v>2.5234473807498494</v>
      </c>
      <c r="AQ28" s="88">
        <f t="shared" si="47"/>
        <v>5.903511231807297</v>
      </c>
      <c r="AR28" s="88">
        <f t="shared" si="38"/>
        <v>5.29516583629314</v>
      </c>
      <c r="AS28" s="88">
        <f t="shared" si="38"/>
        <v>-11.218241849700396</v>
      </c>
      <c r="AT28" s="88">
        <f t="shared" si="39"/>
        <v>-6.149239315864087</v>
      </c>
      <c r="AU28" s="88">
        <f t="shared" si="40"/>
        <v>2.837019520560034</v>
      </c>
      <c r="AV28" s="88">
        <f t="shared" si="48"/>
        <v>-7.622776777625936</v>
      </c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>
        <f>'E1'!AJ29/A!AD30*1000</f>
        <v>391.51763957386913</v>
      </c>
      <c r="AG29" s="100">
        <f>'E1'!AK29/A!AD30*1000</f>
        <v>668.9476033001112</v>
      </c>
      <c r="AH29" s="88">
        <f t="shared" si="41"/>
        <v>-7.514783419036515</v>
      </c>
      <c r="AI29" s="88">
        <f t="shared" si="42"/>
        <v>-5.274589370365482</v>
      </c>
      <c r="AJ29" s="88">
        <f t="shared" si="43"/>
        <v>7.2080956773360505</v>
      </c>
      <c r="AK29" s="88">
        <f t="shared" si="44"/>
        <v>5.879061152598787</v>
      </c>
      <c r="AL29" s="88">
        <f t="shared" si="45"/>
        <v>-3.137065242649708</v>
      </c>
      <c r="AM29" s="88">
        <f t="shared" si="46"/>
        <v>-5.16631923008869</v>
      </c>
      <c r="AN29" s="88">
        <f t="shared" si="35"/>
        <v>1.6501315733323005</v>
      </c>
      <c r="AO29" s="88">
        <f t="shared" si="36"/>
        <v>4.418397230107355</v>
      </c>
      <c r="AP29" s="88">
        <f t="shared" si="37"/>
        <v>3.627356610262479</v>
      </c>
      <c r="AQ29" s="88">
        <f t="shared" si="47"/>
        <v>8.96202619614107</v>
      </c>
      <c r="AR29" s="88">
        <f t="shared" si="38"/>
        <v>0.2165577773491076</v>
      </c>
      <c r="AS29" s="88">
        <f t="shared" si="38"/>
        <v>-8.407189836102482</v>
      </c>
      <c r="AT29" s="88">
        <f aca="true" t="shared" si="49" ref="AT29:AT34">(AC29-AA29)/AA29*100</f>
        <v>-4.036367058430826</v>
      </c>
      <c r="AU29" s="88">
        <f t="shared" si="40"/>
        <v>0.4482693242241656</v>
      </c>
      <c r="AV29" s="88">
        <f t="shared" si="48"/>
        <v>-6.192293607003731</v>
      </c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>
        <f>'E1'!AJ30/A!AD31*1000</f>
        <v>406.67132336773284</v>
      </c>
      <c r="AG30" s="100">
        <f>'E1'!AK30/A!AD31*1000</f>
        <v>694.8392092724654</v>
      </c>
      <c r="AH30" s="88">
        <f>(D30-B30)/B30*100</f>
        <v>-7.17151927066251</v>
      </c>
      <c r="AI30" s="88">
        <f t="shared" si="42"/>
        <v>-4.2011060213766065</v>
      </c>
      <c r="AJ30" s="88">
        <f t="shared" si="43"/>
        <v>5.948137410690089</v>
      </c>
      <c r="AK30" s="88">
        <f t="shared" si="44"/>
        <v>6.444473460467242</v>
      </c>
      <c r="AL30" s="88">
        <f t="shared" si="45"/>
        <v>-3.8994852715438038</v>
      </c>
      <c r="AM30" s="88">
        <f t="shared" si="46"/>
        <v>-5.131348140014915</v>
      </c>
      <c r="AN30" s="88">
        <f t="shared" si="35"/>
        <v>1.028447449592269</v>
      </c>
      <c r="AO30" s="88">
        <f t="shared" si="36"/>
        <v>3.371311993423837</v>
      </c>
      <c r="AP30" s="88">
        <f t="shared" si="37"/>
        <v>4.799987579778384</v>
      </c>
      <c r="AQ30" s="88">
        <f t="shared" si="47"/>
        <v>10.64494166645957</v>
      </c>
      <c r="AR30" s="88">
        <f t="shared" si="38"/>
        <v>-2.96611650734773</v>
      </c>
      <c r="AS30" s="88">
        <f t="shared" si="38"/>
        <v>-5.368683663825761</v>
      </c>
      <c r="AT30" s="88">
        <f t="shared" si="49"/>
        <v>-4.711482717986693</v>
      </c>
      <c r="AU30" s="88">
        <f t="shared" si="40"/>
        <v>-0.9745364979769207</v>
      </c>
      <c r="AV30" s="88">
        <f t="shared" si="48"/>
        <v>-5.210672800703259</v>
      </c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>
        <f>'E1'!AJ31/A!AD32*1000</f>
        <v>409.81247654147234</v>
      </c>
      <c r="AG31" s="100">
        <f>'E1'!AK31/A!AD32*1000</f>
        <v>700.2061881126998</v>
      </c>
      <c r="AH31" s="88">
        <f t="shared" si="41"/>
        <v>-6.005398583164953</v>
      </c>
      <c r="AI31" s="88">
        <f t="shared" si="42"/>
        <v>-3.9685285253301403</v>
      </c>
      <c r="AJ31" s="88">
        <f t="shared" si="43"/>
        <v>5.682403194009994</v>
      </c>
      <c r="AK31" s="88">
        <f t="shared" si="44"/>
        <v>5.889263479577232</v>
      </c>
      <c r="AL31" s="88">
        <f t="shared" si="45"/>
        <v>-3.7616986113253614</v>
      </c>
      <c r="AM31" s="88">
        <f t="shared" si="46"/>
        <v>-6.028803260998527</v>
      </c>
      <c r="AN31" s="88">
        <f t="shared" si="35"/>
        <v>1.7474385215553432</v>
      </c>
      <c r="AO31" s="88">
        <f t="shared" si="36"/>
        <v>3.011025522022155</v>
      </c>
      <c r="AP31" s="88">
        <f t="shared" si="37"/>
        <v>6.004907036789032</v>
      </c>
      <c r="AQ31" s="88">
        <f t="shared" si="47"/>
        <v>11.610477608567967</v>
      </c>
      <c r="AR31" s="88">
        <f>(Y31-W31)/W31*100</f>
        <v>-5.047001776759653</v>
      </c>
      <c r="AS31" s="88">
        <f t="shared" si="38"/>
        <v>-3.886956581221005</v>
      </c>
      <c r="AT31" s="88">
        <f t="shared" si="49"/>
        <v>-5.710530566903562</v>
      </c>
      <c r="AU31" s="88">
        <f t="shared" si="40"/>
        <v>-1.5219032498884286</v>
      </c>
      <c r="AV31" s="88">
        <f t="shared" si="48"/>
        <v>-5.18604254713564</v>
      </c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>
        <f>'E1'!AJ32/A!AD33*1000</f>
        <v>408.24766153868774</v>
      </c>
      <c r="AG32" s="100">
        <f>'E1'!AK32/A!AD33*1000</f>
        <v>697.5325429434552</v>
      </c>
      <c r="AH32" s="88">
        <f t="shared" si="41"/>
        <v>-5.219715720795169</v>
      </c>
      <c r="AI32" s="88">
        <f t="shared" si="42"/>
        <v>-3.565196614877576</v>
      </c>
      <c r="AJ32" s="88">
        <f t="shared" si="43"/>
        <v>5.632326694474196</v>
      </c>
      <c r="AK32" s="88">
        <f t="shared" si="44"/>
        <v>5.294516633131663</v>
      </c>
      <c r="AL32" s="88">
        <f t="shared" si="45"/>
        <v>-3.44715730747927</v>
      </c>
      <c r="AM32" s="88">
        <f t="shared" si="46"/>
        <v>-6.314666560215847</v>
      </c>
      <c r="AN32" s="88">
        <f t="shared" si="35"/>
        <v>2.353681827657879</v>
      </c>
      <c r="AO32" s="88">
        <f t="shared" si="36"/>
        <v>2.6535847374851826</v>
      </c>
      <c r="AP32" s="88">
        <f t="shared" si="37"/>
        <v>6.582278699325974</v>
      </c>
      <c r="AQ32" s="88">
        <f t="shared" si="47"/>
        <v>11.644743185948208</v>
      </c>
      <c r="AR32" s="88">
        <f>(Y32-W32)/W32*100</f>
        <v>-4.9901422244987135</v>
      </c>
      <c r="AS32" s="88">
        <f t="shared" si="38"/>
        <v>-3.8162454303986766</v>
      </c>
      <c r="AT32" s="88">
        <f t="shared" si="49"/>
        <v>-6.302295504731818</v>
      </c>
      <c r="AU32" s="88">
        <f t="shared" si="40"/>
        <v>-2.3547157571701436</v>
      </c>
      <c r="AV32" s="88">
        <f t="shared" si="48"/>
        <v>-4.662730000637309</v>
      </c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1"/>
        <v>-5.097304688779955</v>
      </c>
      <c r="AI33" s="88">
        <f t="shared" si="42"/>
        <v>-3.0118028808187765</v>
      </c>
      <c r="AJ33" s="88">
        <f t="shared" si="43"/>
        <v>5.213418780588588</v>
      </c>
      <c r="AK33" s="88">
        <f t="shared" si="44"/>
        <v>5.344995910038468</v>
      </c>
      <c r="AL33" s="88">
        <f t="shared" si="45"/>
        <v>-3.1930631056005043</v>
      </c>
      <c r="AM33" s="88">
        <f t="shared" si="46"/>
        <v>-6.387884115910785</v>
      </c>
      <c r="AN33" s="88">
        <f t="shared" si="35"/>
        <v>2.210223747572381</v>
      </c>
      <c r="AO33" s="88">
        <f t="shared" si="36"/>
        <v>2.7090507766840806</v>
      </c>
      <c r="AP33" s="88">
        <f t="shared" si="37"/>
        <v>6.6322814703047435</v>
      </c>
      <c r="AQ33" s="88">
        <f t="shared" si="47"/>
        <v>11.16317686820482</v>
      </c>
      <c r="AR33" s="88">
        <f>(Y33-W33)/W33*100</f>
        <v>-4.55587737864629</v>
      </c>
      <c r="AS33" s="88">
        <f t="shared" si="38"/>
        <v>-3.8965577541922216</v>
      </c>
      <c r="AT33" s="88">
        <f t="shared" si="49"/>
        <v>-6.470067217128079</v>
      </c>
      <c r="AU33" s="88">
        <f t="shared" si="40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5"/>
        <v>2.2682210963392504</v>
      </c>
      <c r="AO34" s="89">
        <f t="shared" si="35"/>
        <v>2.5289432237696743</v>
      </c>
      <c r="AP34" s="89">
        <f t="shared" si="37"/>
        <v>6.9461984440777735</v>
      </c>
      <c r="AQ34" s="89">
        <f t="shared" si="47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9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7 AV7 AF17:AG23 AF8:AG8 AF24:AG24 AV9:AV16 AV8 AV24:AV29 AF9:AF16 AF25:AG25 AF26:AG26 AV17:AV23 AF27:AG27 AF28:AG28 AF29:AG29 AF30:AG30 AF31:AG31 AV30:AV32 AF32:AG32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2018-12-17T11:25:04Z</cp:lastPrinted>
  <dcterms:created xsi:type="dcterms:W3CDTF">2016-02-11T06:41:25Z</dcterms:created>
  <dcterms:modified xsi:type="dcterms:W3CDTF">2019-01-08T07:17:16Z</dcterms:modified>
  <cp:category/>
  <cp:version/>
  <cp:contentType/>
  <cp:contentStatus/>
</cp:coreProperties>
</file>