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70" windowWidth="11085" windowHeight="6720" firstSheet="3" activeTab="8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</sheets>
  <definedNames>
    <definedName name="_xlnm.Print_Area" localSheetId="3">'APRIL'!$B$1:$N$60</definedName>
    <definedName name="_xlnm.Print_Area" localSheetId="7">'August'!$B$1:$N$60</definedName>
    <definedName name="_xlnm.Print_Area" localSheetId="1">'FEBRUARY'!$B$1:$N$59</definedName>
    <definedName name="_xlnm.Print_Area" localSheetId="0">'JANUARY'!$B$1:$O$59</definedName>
    <definedName name="_xlnm.Print_Area" localSheetId="6">'JULY'!$B$1:$N$61</definedName>
    <definedName name="_xlnm.Print_Area" localSheetId="5">'JUNE'!$B$1:$N$60</definedName>
    <definedName name="_xlnm.Print_Area" localSheetId="2">'MARCH'!$B$1:$N$59</definedName>
    <definedName name="_xlnm.Print_Area" localSheetId="4">'MAY'!$B$1:$N$58</definedName>
    <definedName name="_xlnm.Print_Area" localSheetId="8">'September'!$B$1:$N$60</definedName>
  </definedNames>
  <calcPr fullCalcOnLoad="1"/>
</workbook>
</file>

<file path=xl/comments1.xml><?xml version="1.0" encoding="utf-8"?>
<comments xmlns="http://schemas.openxmlformats.org/spreadsheetml/2006/main">
  <authors>
    <author>MOF</author>
  </authors>
  <commentList>
    <comment ref="S35" authorId="0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ΠΡΟΣΘΕΤΩ ΤΟ 11.33 ΤΟ 02
</t>
        </r>
      </text>
    </comment>
    <comment ref="S36" authorId="0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προσθετω την κατηγορια 03 από 11.33
</t>
        </r>
      </text>
    </comment>
    <comment ref="H27" authorId="0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αφαιρώ 29100 που είναι nontax revenue είναι επιστροφή δανείου από το IMF 
και φαίνεται στο 19.02</t>
        </r>
      </text>
    </comment>
    <comment ref="J27" authorId="0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αφαιρώ 29100 που είναι nontax revenue είναι επιστροφή δανείου από το IMF 
και φαίνεται στο 19.02</t>
        </r>
      </text>
    </comment>
    <comment ref="H36" authorId="0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G &amp; S +PLF- 03 κατηγορία  (11.04  -11.34)</t>
        </r>
      </text>
    </comment>
    <comment ref="J36" authorId="0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G &amp; S +PLF- 03 κατηγορία  (11.04  -11.34)</t>
        </r>
      </text>
    </comment>
    <comment ref="J40" authorId="0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το βρίσκω από τον πίνακα 5 στο other transfers 2007</t>
        </r>
      </text>
    </comment>
    <comment ref="H43" authorId="0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11.04+advances</t>
        </r>
      </text>
    </comment>
    <comment ref="J43" authorId="0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11.04+advances</t>
        </r>
      </text>
    </comment>
    <comment ref="H45" authorId="0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31 - 11.34 κατηγορια 03 (ή κατηγορίες 07 + 08)+13,4 εκ. για αγορά μετοχών eurocypria</t>
        </r>
      </text>
    </comment>
    <comment ref="J45" authorId="0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31 - 11.34 κατηγορια 03 (ή κατηγορίες 07 + 08)</t>
        </r>
      </text>
    </comment>
  </commentList>
</comments>
</file>

<file path=xl/comments2.xml><?xml version="1.0" encoding="utf-8"?>
<comments xmlns="http://schemas.openxmlformats.org/spreadsheetml/2006/main">
  <authors>
    <author>MOF</author>
  </authors>
  <commentList>
    <comment ref="G27" authorId="0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αφαιρώ 29100 που είναι nontax revenue είναι επιστροφή δανείου από το IMF 
και φαίνεται στο 19.02</t>
        </r>
      </text>
    </comment>
    <comment ref="I27" authorId="0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αφαιρώ 29100 που είναι nontax revenue είναι επιστροφή δανείου από το IMF 
και φαίνεται στο 19.02</t>
        </r>
      </text>
    </comment>
    <comment ref="G36" authorId="0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G &amp; S +PLF- 03 κατηγορία  (11.04  -11.34)</t>
        </r>
      </text>
    </comment>
    <comment ref="I36" authorId="0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G &amp; S +PLF- 03 κατηγορία  (11.04  -11.34)</t>
        </r>
      </text>
    </comment>
    <comment ref="I40" authorId="0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το βρίσκω από τον πίνακα 5 στο other transfers 2007</t>
        </r>
      </text>
    </comment>
    <comment ref="G43" authorId="0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11.04+advances</t>
        </r>
      </text>
    </comment>
    <comment ref="I43" authorId="0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11.04+advances</t>
        </r>
      </text>
    </comment>
    <comment ref="G45" authorId="0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31 - 11.34 κατηγορια 03 (ή κατηγορίες 07 + 08)+13,4 εκ. για αγορά μετοχών eurocypria</t>
        </r>
      </text>
    </comment>
    <comment ref="I45" authorId="0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31 - 11.34 κατηγορια 03 (ή κατηγορίες 07 + 08)</t>
        </r>
      </text>
    </comment>
  </commentList>
</comments>
</file>

<file path=xl/comments3.xml><?xml version="1.0" encoding="utf-8"?>
<comments xmlns="http://schemas.openxmlformats.org/spreadsheetml/2006/main">
  <authors>
    <author>MOF</author>
    <author>TRY180107805</author>
  </authors>
  <commentList>
    <comment ref="G27" authorId="0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αφαιρώ 29100 που είναι nontax revenue είναι επιστροφή δανείου από το IMF 
και φαίνεται στο 19.02</t>
        </r>
      </text>
    </comment>
    <comment ref="I27" authorId="0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αφαιρώ 29100 που είναι nontax revenue είναι επιστροφή δανείου από το IMF 
και φαίνεται στο 19.02</t>
        </r>
      </text>
    </comment>
    <comment ref="G36" authorId="0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G &amp; S +PLF- 03 κατηγορία  (11.04  -11.34)</t>
        </r>
      </text>
    </comment>
    <comment ref="I36" authorId="0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G &amp; S +PLF- 03 κατηγορία  (11.04  -11.34)</t>
        </r>
      </text>
    </comment>
    <comment ref="I40" authorId="0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το βρίσκω από τον πίνακα 5 στο other transfers 2007</t>
        </r>
      </text>
    </comment>
    <comment ref="G43" authorId="0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11.04+advances</t>
        </r>
      </text>
    </comment>
    <comment ref="I43" authorId="0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11.04+advances</t>
        </r>
      </text>
    </comment>
    <comment ref="G45" authorId="0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31 - 11.34 κατηγορια 03 (ή κατηγορίες 07 + 08)+13,4 εκ. για αγορά μετοχών eurocypria</t>
        </r>
      </text>
    </comment>
    <comment ref="I45" authorId="0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31 - 11.34 κατηγορια 03 (ή κατηγορίες 07 + 08)</t>
        </r>
      </text>
    </comment>
    <comment ref="E17" authorId="1">
      <text>
        <r>
          <rPr>
            <b/>
            <sz val="8"/>
            <rFont val="Tahoma"/>
            <family val="0"/>
          </rPr>
          <t>Contrary to 2007, motor vehicle regidtration taxes were not recorded in the first quarter of 2008 . The difference being €65,7 m.</t>
        </r>
      </text>
    </comment>
    <comment ref="E24" authorId="1">
      <text>
        <r>
          <rPr>
            <b/>
            <sz val="8"/>
            <rFont val="Tahoma"/>
            <family val="0"/>
          </rPr>
          <t>Decrease in the revenue from the registration of companies. The difference being €3,5 m.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TRY180107805</author>
    <author>MOF</author>
  </authors>
  <commentList>
    <comment ref="E17" authorId="0">
      <text>
        <r>
          <rPr>
            <b/>
            <sz val="8"/>
            <rFont val="Tahoma"/>
            <family val="0"/>
          </rPr>
          <t>Contrary to 2007, motor vehicle regidtration taxes were not recorded in the first quarter of 2008 . The difference being €65,7 m.</t>
        </r>
      </text>
    </comment>
    <comment ref="E24" authorId="0">
      <text>
        <r>
          <rPr>
            <b/>
            <sz val="8"/>
            <rFont val="Tahoma"/>
            <family val="0"/>
          </rPr>
          <t>Decrease in the revenue from the registration of companies. The difference being €3,5 m.</t>
        </r>
        <r>
          <rPr>
            <sz val="8"/>
            <rFont val="Tahoma"/>
            <family val="0"/>
          </rPr>
          <t xml:space="preserve">
</t>
        </r>
      </text>
    </comment>
    <comment ref="G27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αφαιρώ 29100 που είναι nontax revenue είναι επιστροφή δανείου από το IMF 
και φαίνεται στο 19.02</t>
        </r>
      </text>
    </comment>
    <comment ref="I27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αφαιρώ 29100 που είναι nontax revenue είναι επιστροφή δανείου από το IMF 
και φαίνεται στο 19.02</t>
        </r>
      </text>
    </comment>
    <comment ref="G36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G &amp; S +PLF- 03 κατηγορία  (11.04  -11.34)</t>
        </r>
      </text>
    </comment>
    <comment ref="I36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G &amp; S +PLF- 03 κατηγορία  (11.04  -11.34)</t>
        </r>
      </text>
    </comment>
    <comment ref="I40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το βρίσκω από τον πίνακα 5 στο other transfers 2007</t>
        </r>
      </text>
    </comment>
    <comment ref="G43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11.04+advances</t>
        </r>
      </text>
    </comment>
    <comment ref="I43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11.04+advances</t>
        </r>
      </text>
    </comment>
    <comment ref="G45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31 - 11.34 κατηγορια 03 (ή κατηγορίες 07 + 08)+13,4 εκ. για αγορά μετοχών eurocypria</t>
        </r>
      </text>
    </comment>
    <comment ref="I45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31 - 11.34 κατηγορια 03 (ή κατηγορίες 07 + 08)</t>
        </r>
      </text>
    </comment>
  </commentList>
</comments>
</file>

<file path=xl/comments5.xml><?xml version="1.0" encoding="utf-8"?>
<comments xmlns="http://schemas.openxmlformats.org/spreadsheetml/2006/main">
  <authors>
    <author>TRY180107805</author>
    <author>MOF</author>
  </authors>
  <commentList>
    <comment ref="E16" authorId="0">
      <text>
        <r>
          <rPr>
            <b/>
            <sz val="8"/>
            <rFont val="Tahoma"/>
            <family val="0"/>
          </rPr>
          <t>Contrary to 2007, motor vehicle regidtration taxes were not recorded in the first quarter of 2008 . The difference being €65,7 m.</t>
        </r>
      </text>
    </comment>
    <comment ref="E23" authorId="0">
      <text>
        <r>
          <rPr>
            <b/>
            <sz val="8"/>
            <rFont val="Tahoma"/>
            <family val="0"/>
          </rPr>
          <t>Decrease in the revenue from the registration of companies. The difference being €3,5 m.</t>
        </r>
        <r>
          <rPr>
            <sz val="8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αφαιρώ 29100 που είναι nontax revenue είναι επιστροφή δανείου από το IMF 
και φαίνεται στο 19.02</t>
        </r>
      </text>
    </comment>
    <comment ref="G35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G &amp; S +PLF- 03 κατηγορία  (11.04  -11.34)</t>
        </r>
      </text>
    </comment>
    <comment ref="G42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11.04+advances</t>
        </r>
      </text>
    </comment>
    <comment ref="G44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31 - 11.34 κατηγορια 03 (ή κατηγορίες 07 + 08)+13,4 εκ. για αγορά μετοχών eurocypria</t>
        </r>
      </text>
    </comment>
    <comment ref="I26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αφαιρώ 29100 που είναι nontax revenue είναι επιστροφή δανείου από το IMF 
και φαίνεται στο 19.02</t>
        </r>
      </text>
    </comment>
    <comment ref="I35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G &amp; S +PLF- 03 κατηγορία  (11.04  -11.34)</t>
        </r>
      </text>
    </comment>
    <comment ref="I39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το βρίσκω από τον πίνακα 5 στο other transfers 2007</t>
        </r>
      </text>
    </comment>
    <comment ref="I42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11.04+advances</t>
        </r>
      </text>
    </comment>
    <comment ref="I44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31 - 11.34 κατηγορια 03 (ή κατηγορίες 07 + 08)</t>
        </r>
      </text>
    </comment>
  </commentList>
</comments>
</file>

<file path=xl/comments6.xml><?xml version="1.0" encoding="utf-8"?>
<comments xmlns="http://schemas.openxmlformats.org/spreadsheetml/2006/main">
  <authors>
    <author>TRY180107805</author>
    <author>MOF</author>
  </authors>
  <commentList>
    <comment ref="E16" authorId="0">
      <text>
        <r>
          <rPr>
            <b/>
            <sz val="8"/>
            <rFont val="Tahoma"/>
            <family val="0"/>
          </rPr>
          <t>Contrary to 2007, motor vehicle regidtration taxes were not recorded in the first quarter of 2008 . The difference being €65,7 m.</t>
        </r>
      </text>
    </comment>
    <comment ref="E23" authorId="0">
      <text>
        <r>
          <rPr>
            <b/>
            <sz val="8"/>
            <rFont val="Tahoma"/>
            <family val="0"/>
          </rPr>
          <t>Decrease in the revenue from the registration of companies. The difference being €3,5 m.</t>
        </r>
        <r>
          <rPr>
            <sz val="8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αφαιρώ 29100 που είναι nontax revenue είναι επιστροφή δανείου από το IMF 
και φαίνεται στο 19.02</t>
        </r>
      </text>
    </comment>
    <comment ref="I26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αφαιρώ 29100 που είναι nontax revenue είναι επιστροφή δανείου από το IMF 
και φαίνεται στο 19.02</t>
        </r>
      </text>
    </comment>
    <comment ref="G35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G &amp; S +PLF- 03 κατηγορία  (11.04  -11.34)</t>
        </r>
      </text>
    </comment>
    <comment ref="I35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G &amp; S +PLF- 03 κατηγορία  (11.04  -11.34)</t>
        </r>
      </text>
    </comment>
    <comment ref="I39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το βρίσκω από τον πίνακα 5 στο other transfers 2007</t>
        </r>
      </text>
    </comment>
    <comment ref="G42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11.04+advances</t>
        </r>
      </text>
    </comment>
    <comment ref="I42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11.04+advances</t>
        </r>
      </text>
    </comment>
    <comment ref="G44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31 - 11.34 κατηγορια 03 (ή κατηγορίες 07 + 08)+13,4 εκ. για αγορά μετοχών eurocypria</t>
        </r>
      </text>
    </comment>
    <comment ref="I44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31 - 11.34 κατηγορια 03 (ή κατηγορίες 07 + 08)</t>
        </r>
      </text>
    </comment>
  </commentList>
</comments>
</file>

<file path=xl/comments7.xml><?xml version="1.0" encoding="utf-8"?>
<comments xmlns="http://schemas.openxmlformats.org/spreadsheetml/2006/main">
  <authors>
    <author>TRY180107805</author>
    <author>MOF</author>
  </authors>
  <commentList>
    <comment ref="E16" authorId="0">
      <text>
        <r>
          <rPr>
            <b/>
            <sz val="8"/>
            <rFont val="Tahoma"/>
            <family val="0"/>
          </rPr>
          <t>Contrary to 2007, motor vehicle regidtration taxes were not recorded in the first quarter of 2008 . The difference being €65,7 m.</t>
        </r>
      </text>
    </comment>
    <comment ref="E23" authorId="0">
      <text>
        <r>
          <rPr>
            <b/>
            <sz val="8"/>
            <rFont val="Tahoma"/>
            <family val="0"/>
          </rPr>
          <t>Decrease in the revenue from the registration of companies. The difference being €3,5 m.</t>
        </r>
        <r>
          <rPr>
            <sz val="8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αφαιρώ 29100 που είναι nontax revenue είναι επιστροφή δανείου από το IMF 
και φαίνεται στο 19.02</t>
        </r>
      </text>
    </comment>
    <comment ref="I26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αφαιρώ 29100 που είναι nontax revenue είναι επιστροφή δανείου από το IMF 
και φαίνεται στο 19.02</t>
        </r>
      </text>
    </comment>
    <comment ref="G35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G &amp; S +PLF- 03 κατηγορία  (11.04  -11.34)</t>
        </r>
      </text>
    </comment>
    <comment ref="I35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G &amp; S +PLF- 03 κατηγορία  (11.04  -11.34)</t>
        </r>
      </text>
    </comment>
    <comment ref="I39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το βρίσκω από τον πίνακα 5 στο other transfers 2007</t>
        </r>
      </text>
    </comment>
    <comment ref="G42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11.04+advances</t>
        </r>
      </text>
    </comment>
    <comment ref="I42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11.04+advances</t>
        </r>
      </text>
    </comment>
    <comment ref="G44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31 - 11.34 κατηγορια 03 (ή κατηγορίες 07 + 08)+13,4 εκ. για αγορά μετοχών eurocypria</t>
        </r>
      </text>
    </comment>
    <comment ref="I44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31 - 11.34 κατηγορια 03 (ή κατηγορίες 07 + 08)</t>
        </r>
      </text>
    </comment>
  </commentList>
</comments>
</file>

<file path=xl/comments8.xml><?xml version="1.0" encoding="utf-8"?>
<comments xmlns="http://schemas.openxmlformats.org/spreadsheetml/2006/main">
  <authors>
    <author>TRY180107805</author>
    <author>MOF</author>
  </authors>
  <commentList>
    <comment ref="E16" authorId="0">
      <text>
        <r>
          <rPr>
            <b/>
            <sz val="8"/>
            <rFont val="Tahoma"/>
            <family val="0"/>
          </rPr>
          <t>Contrary to 2007, motor vehicle regidtration taxes were not recorded in the first quarter of 2008 . The difference being €65,7 m.</t>
        </r>
      </text>
    </comment>
    <comment ref="E23" authorId="0">
      <text>
        <r>
          <rPr>
            <b/>
            <sz val="8"/>
            <rFont val="Tahoma"/>
            <family val="0"/>
          </rPr>
          <t>Decrease in the revenue from the registration of companies. The difference being €3,5 m.</t>
        </r>
        <r>
          <rPr>
            <sz val="8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αφαιρώ 29100 που είναι nontax revenue είναι επιστροφή δανείου από το IMF 
και φαίνεται στο 19.02</t>
        </r>
      </text>
    </comment>
    <comment ref="I26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αφαιρώ 29100 που είναι nontax revenue είναι επιστροφή δανείου από το IMF 
και φαίνεται στο 19.02</t>
        </r>
      </text>
    </comment>
    <comment ref="G35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G &amp; S +PLF- 03 κατηγορία  (11.04  -11.34)</t>
        </r>
      </text>
    </comment>
    <comment ref="I35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G &amp; S +PLF- 03 κατηγορία  (11.04  -11.34)</t>
        </r>
      </text>
    </comment>
    <comment ref="I39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το βρίσκω από τον πίνακα 5 στο other transfers 2007</t>
        </r>
      </text>
    </comment>
    <comment ref="G42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11.04+advances</t>
        </r>
      </text>
    </comment>
    <comment ref="I42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11.04+advances</t>
        </r>
      </text>
    </comment>
    <comment ref="G44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31 - 11.34 κατηγορια 03 (ή κατηγορίες 07 + 08)+13,4 εκ. για αγορά μετοχών eurocypria</t>
        </r>
      </text>
    </comment>
    <comment ref="I44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31 - 11.34 κατηγορια 03 (ή κατηγορίες 07 + 08)</t>
        </r>
      </text>
    </comment>
  </commentList>
</comments>
</file>

<file path=xl/comments9.xml><?xml version="1.0" encoding="utf-8"?>
<comments xmlns="http://schemas.openxmlformats.org/spreadsheetml/2006/main">
  <authors>
    <author>TRY180107805</author>
    <author>MOF</author>
  </authors>
  <commentList>
    <comment ref="E16" authorId="0">
      <text>
        <r>
          <rPr>
            <b/>
            <sz val="8"/>
            <rFont val="Tahoma"/>
            <family val="0"/>
          </rPr>
          <t>Contrary to 2007, motor vehicle regidtration taxes were not recorded in the first quarter of 2008 . The difference being €65,7 m.</t>
        </r>
      </text>
    </comment>
    <comment ref="E23" authorId="0">
      <text>
        <r>
          <rPr>
            <b/>
            <sz val="8"/>
            <rFont val="Tahoma"/>
            <family val="0"/>
          </rPr>
          <t>Decrease in the revenue from the registration of companies. The difference being €3,5 m.</t>
        </r>
        <r>
          <rPr>
            <sz val="8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αφαιρώ 29100 που είναι nontax revenue είναι επιστροφή δανείου από το IMF 
και φαίνεται στο 19.02</t>
        </r>
      </text>
    </comment>
    <comment ref="I26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αφαιρώ 29100 που είναι nontax revenue είναι επιστροφή δανείου από το IMF 
και φαίνεται στο 19.02</t>
        </r>
      </text>
    </comment>
    <comment ref="G35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G &amp; S +PLF- 03 κατηγορία  (11.04  -11.34)</t>
        </r>
      </text>
    </comment>
    <comment ref="I35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G &amp; S +PLF- 03 κατηγορία  (11.04  -11.34)</t>
        </r>
      </text>
    </comment>
    <comment ref="I39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το βρίσκω από τον πίνακα 5 στο other transfers 2007</t>
        </r>
      </text>
    </comment>
    <comment ref="G42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11.04+advances</t>
        </r>
      </text>
    </comment>
    <comment ref="I42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11.04+advances</t>
        </r>
      </text>
    </comment>
    <comment ref="G44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31 - 11.34 κατηγορια 03 (ή κατηγορίες 07 + 08)+13,4 εκ. για αγορά μετοχών eurocypria</t>
        </r>
      </text>
    </comment>
    <comment ref="I44" authorId="1">
      <text>
        <r>
          <rPr>
            <b/>
            <sz val="8"/>
            <rFont val="Tahoma"/>
            <family val="0"/>
          </rPr>
          <t>MOF:</t>
        </r>
        <r>
          <rPr>
            <sz val="8"/>
            <rFont val="Tahoma"/>
            <family val="0"/>
          </rPr>
          <t xml:space="preserve">
31 - 11.34 κατηγορια 03 (ή κατηγορίες 07 + 08)</t>
        </r>
      </text>
    </comment>
  </commentList>
</comments>
</file>

<file path=xl/sharedStrings.xml><?xml version="1.0" encoding="utf-8"?>
<sst xmlns="http://schemas.openxmlformats.org/spreadsheetml/2006/main" count="633" uniqueCount="76">
  <si>
    <t>CONSOLIDATED ACCOUNTS OF CENTRAL GOVERNMENT</t>
  </si>
  <si>
    <t xml:space="preserve"> 1. REVENUE AND GRANTS (2+14)</t>
  </si>
  <si>
    <t xml:space="preserve"> 2. REVENUE (3+13)</t>
  </si>
  <si>
    <t xml:space="preserve"> 3. CURRENT REVENUE (4+12)</t>
  </si>
  <si>
    <t xml:space="preserve"> 4. TAX REVENUE (5+8+11)</t>
  </si>
  <si>
    <t xml:space="preserve">   5. DIRECT TAXES (6+7)</t>
  </si>
  <si>
    <t xml:space="preserve">     6. INCOME TAX</t>
  </si>
  <si>
    <t xml:space="preserve">     7. OTHER DIRECT TAXES</t>
  </si>
  <si>
    <t xml:space="preserve">       Other</t>
  </si>
  <si>
    <t xml:space="preserve">   8. INDIRECT TAXES (9+10)</t>
  </si>
  <si>
    <t xml:space="preserve">     9. IMPORT DUTIES</t>
  </si>
  <si>
    <t xml:space="preserve">    10. OTHER INDIRECT TAXES</t>
  </si>
  <si>
    <t xml:space="preserve">       Excises</t>
  </si>
  <si>
    <t xml:space="preserve">       V.A.T.</t>
  </si>
  <si>
    <t xml:space="preserve"> 12. NON TAX REVENUE</t>
  </si>
  <si>
    <t xml:space="preserve"> 13. CAPITAL REVENUE</t>
  </si>
  <si>
    <t>% change</t>
  </si>
  <si>
    <t xml:space="preserve">   4. WAGES AND SALARIES</t>
  </si>
  <si>
    <t xml:space="preserve">   5. OTHER GOODS AND SERVICES</t>
  </si>
  <si>
    <t xml:space="preserve">   6. SUBSIDIES</t>
  </si>
  <si>
    <t xml:space="preserve">   7. INTEREST PAYMENTS</t>
  </si>
  <si>
    <t xml:space="preserve">   8. SOCIAL SECURITY PAYMENTS</t>
  </si>
  <si>
    <t xml:space="preserve">       as % of GDP</t>
  </si>
  <si>
    <t xml:space="preserve"> 11. SOCIAL SECURITY CON'TIONS</t>
  </si>
  <si>
    <t xml:space="preserve">   9. PENSION AND GRATUITIES</t>
  </si>
  <si>
    <t xml:space="preserve">  10. SOCIAL PENSION</t>
  </si>
  <si>
    <t xml:space="preserve">  11. OTHER CURRENT TRANSFERS</t>
  </si>
  <si>
    <t xml:space="preserve">  12. UNALLOCABLE</t>
  </si>
  <si>
    <t xml:space="preserve">   14. INVESTMENT</t>
  </si>
  <si>
    <t xml:space="preserve">   15. CAPITAL TRANSFERS</t>
  </si>
  <si>
    <t xml:space="preserve"> 16. NET LENDING</t>
  </si>
  <si>
    <t xml:space="preserve"> 17. CURRENT BALANCE</t>
  </si>
  <si>
    <t xml:space="preserve"> 18. OVERALL BALANCE</t>
  </si>
  <si>
    <t xml:space="preserve"> 19. PRIMARY BALANCE</t>
  </si>
  <si>
    <t xml:space="preserve"> 3. CURRENT EXPENDITURE (4-12)</t>
  </si>
  <si>
    <t xml:space="preserve"> 13. CAPITAL EXPENDITURE (14+15)</t>
  </si>
  <si>
    <t xml:space="preserve"> 1. EXPENDITURE AND NET LENDING (2+16)</t>
  </si>
  <si>
    <t xml:space="preserve"> 2. EXPENDITURE (3+13)</t>
  </si>
  <si>
    <t>( in thousands  of Cyprus Pounds)</t>
  </si>
  <si>
    <t xml:space="preserve"> 14. GRANTS</t>
  </si>
  <si>
    <t>Source: Budgets and Fiscal Control Directorate, Ministry of Finance</t>
  </si>
  <si>
    <t>02600+02550+02501</t>
  </si>
  <si>
    <t>04464</t>
  </si>
  <si>
    <t>Annual</t>
  </si>
  <si>
    <t>26,27,28</t>
  </si>
  <si>
    <t>PROJECTION</t>
  </si>
  <si>
    <t>% of</t>
  </si>
  <si>
    <t>GDP</t>
  </si>
  <si>
    <t>Final</t>
  </si>
  <si>
    <t>PLF</t>
  </si>
  <si>
    <t>January</t>
  </si>
  <si>
    <t>50.74</t>
  </si>
  <si>
    <t>2006/05</t>
  </si>
  <si>
    <t>11.04+Advances</t>
  </si>
  <si>
    <t>G&amp;S+PLF-11.04(03)</t>
  </si>
  <si>
    <t>of GDP</t>
  </si>
  <si>
    <t>31-1104 (07+08)</t>
  </si>
  <si>
    <t xml:space="preserve">% </t>
  </si>
  <si>
    <t>( in thousands  of Euro)</t>
  </si>
  <si>
    <t xml:space="preserve"> 2008/2007</t>
  </si>
  <si>
    <t>2008/07</t>
  </si>
  <si>
    <t>%</t>
  </si>
  <si>
    <t>GDP at nominal prices</t>
  </si>
  <si>
    <t>CONSOLIDATED ACCOUNTS OF CENTRAL GOVERNMENT AND SOCIAL SECURITY FUNDS</t>
  </si>
  <si>
    <r>
      <t>€</t>
    </r>
    <r>
      <rPr>
        <b/>
        <sz val="7.5"/>
        <rFont val="Comic Sans MS"/>
        <family val="4"/>
      </rPr>
      <t xml:space="preserve"> ths</t>
    </r>
  </si>
  <si>
    <t>11.04 αμυνα</t>
  </si>
  <si>
    <t>Revised Estimate</t>
  </si>
  <si>
    <t>Jan.-Febr.</t>
  </si>
  <si>
    <t>Jan.-March</t>
  </si>
  <si>
    <t>Jan.-April</t>
  </si>
  <si>
    <t>Jan.-May</t>
  </si>
  <si>
    <t>Jan.-June</t>
  </si>
  <si>
    <t>31-1104(07 cat.)</t>
  </si>
  <si>
    <t>Jan.-July</t>
  </si>
  <si>
    <t>Jan.-August</t>
  </si>
  <si>
    <t>Jan.-Sept.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</si>
</sst>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0_)"/>
    <numFmt numFmtId="181" formatCode="0_)"/>
    <numFmt numFmtId="182" formatCode="dd\-mmm\-yy_)"/>
    <numFmt numFmtId="183" formatCode="0_ ;\-0\ "/>
    <numFmt numFmtId="184" formatCode="#,##0_ ;\-#,##0\ "/>
    <numFmt numFmtId="185" formatCode="#,##0.0"/>
    <numFmt numFmtId="186" formatCode="_-* #,##0.0\ _Δ_ρ_χ_-;\-* #,##0.0\ _Δ_ρ_χ_-;_-* &quot;-&quot;??\ _Δ_ρ_χ_-;_-@_-"/>
    <numFmt numFmtId="187" formatCode="_-* #,##0\ _Δ_ρ_χ_-;\-* #,##0\ _Δ_ρ_χ_-;_-* &quot;-&quot;??\ _Δ_ρ_χ_-;_-@_-"/>
    <numFmt numFmtId="188" formatCode="0.0000"/>
    <numFmt numFmtId="189" formatCode="0.000"/>
    <numFmt numFmtId="190" formatCode="#,##0_);\(#,##0\)"/>
    <numFmt numFmtId="191" formatCode="0.0"/>
    <numFmt numFmtId="192" formatCode="#,##0.0\ _€;\-#,##0.0\ _€"/>
    <numFmt numFmtId="193" formatCode="0.00000"/>
    <numFmt numFmtId="194" formatCode="0.000000"/>
    <numFmt numFmtId="195" formatCode="0.0000000"/>
  </numFmts>
  <fonts count="1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b/>
      <sz val="7.5"/>
      <name val="Comic Sans MS"/>
      <family val="4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>
      <alignment/>
    </xf>
    <xf numFmtId="0" fontId="1" fillId="0" borderId="0" xfId="0" applyFont="1" applyBorder="1" applyAlignment="1" applyProtection="1">
      <alignment/>
      <protection/>
    </xf>
    <xf numFmtId="37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7" fontId="1" fillId="0" borderId="0" xfId="0" applyNumberFormat="1" applyFont="1" applyAlignment="1" applyProtection="1">
      <alignment horizontal="right"/>
      <protection/>
    </xf>
    <xf numFmtId="180" fontId="1" fillId="0" borderId="0" xfId="0" applyNumberFormat="1" applyFont="1" applyAlignment="1" applyProtection="1">
      <alignment horizontal="right"/>
      <protection/>
    </xf>
    <xf numFmtId="180" fontId="0" fillId="0" borderId="0" xfId="0" applyNumberFormat="1" applyFont="1" applyAlignment="1" applyProtection="1">
      <alignment horizontal="right"/>
      <protection/>
    </xf>
    <xf numFmtId="37" fontId="1" fillId="0" borderId="0" xfId="0" applyNumberFormat="1" applyFont="1" applyAlignment="1" applyProtection="1">
      <alignment horizontal="right"/>
      <protection/>
    </xf>
    <xf numFmtId="0" fontId="1" fillId="0" borderId="0" xfId="0" applyFont="1" applyAlignment="1">
      <alignment horizontal="right"/>
    </xf>
    <xf numFmtId="37" fontId="1" fillId="0" borderId="0" xfId="0" applyNumberFormat="1" applyFont="1" applyBorder="1" applyAlignment="1" applyProtection="1">
      <alignment horizontal="right"/>
      <protection/>
    </xf>
    <xf numFmtId="37" fontId="0" fillId="0" borderId="0" xfId="0" applyNumberFormat="1" applyFont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0" fontId="0" fillId="0" borderId="0" xfId="0" applyFont="1" applyAlignment="1" applyProtection="1">
      <alignment horizontal="right"/>
      <protection/>
    </xf>
    <xf numFmtId="37" fontId="1" fillId="0" borderId="0" xfId="0" applyNumberFormat="1" applyFont="1" applyAlignment="1">
      <alignment horizontal="right"/>
    </xf>
    <xf numFmtId="180" fontId="0" fillId="0" borderId="0" xfId="0" applyNumberFormat="1" applyFont="1" applyBorder="1" applyAlignment="1" applyProtection="1">
      <alignment horizontal="right"/>
      <protection/>
    </xf>
    <xf numFmtId="180" fontId="1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 applyProtection="1">
      <alignment/>
      <protection/>
    </xf>
    <xf numFmtId="37" fontId="1" fillId="0" borderId="3" xfId="0" applyNumberFormat="1" applyFont="1" applyBorder="1" applyAlignment="1" applyProtection="1">
      <alignment horizontal="right"/>
      <protection/>
    </xf>
    <xf numFmtId="37" fontId="0" fillId="0" borderId="3" xfId="0" applyNumberFormat="1" applyFont="1" applyBorder="1" applyAlignment="1" applyProtection="1">
      <alignment horizontal="right"/>
      <protection/>
    </xf>
    <xf numFmtId="37" fontId="1" fillId="0" borderId="3" xfId="0" applyNumberFormat="1" applyFont="1" applyBorder="1" applyAlignment="1" applyProtection="1">
      <alignment horizontal="right"/>
      <protection/>
    </xf>
    <xf numFmtId="0" fontId="0" fillId="0" borderId="3" xfId="0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7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 applyProtection="1">
      <alignment/>
      <protection/>
    </xf>
    <xf numFmtId="0" fontId="0" fillId="0" borderId="3" xfId="0" applyFont="1" applyBorder="1" applyAlignment="1">
      <alignment/>
    </xf>
    <xf numFmtId="0" fontId="1" fillId="0" borderId="4" xfId="0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2" fillId="0" borderId="5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right"/>
      <protection/>
    </xf>
    <xf numFmtId="0" fontId="2" fillId="0" borderId="6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7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/>
      <protection/>
    </xf>
    <xf numFmtId="0" fontId="0" fillId="0" borderId="4" xfId="0" applyBorder="1" applyAlignment="1">
      <alignment horizontal="right"/>
    </xf>
    <xf numFmtId="180" fontId="0" fillId="0" borderId="0" xfId="0" applyNumberFormat="1" applyFont="1" applyBorder="1" applyAlignment="1" applyProtection="1">
      <alignment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3" fontId="0" fillId="0" borderId="9" xfId="0" applyNumberForma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2" fontId="1" fillId="0" borderId="3" xfId="0" applyNumberFormat="1" applyFont="1" applyBorder="1" applyAlignment="1">
      <alignment horizontal="right"/>
    </xf>
    <xf numFmtId="0" fontId="1" fillId="0" borderId="11" xfId="0" applyFont="1" applyBorder="1" applyAlignment="1" applyProtection="1">
      <alignment horizontal="center"/>
      <protection/>
    </xf>
    <xf numFmtId="37" fontId="1" fillId="0" borderId="9" xfId="0" applyNumberFormat="1" applyFont="1" applyBorder="1" applyAlignment="1" applyProtection="1">
      <alignment horizontal="right"/>
      <protection/>
    </xf>
    <xf numFmtId="37" fontId="0" fillId="0" borderId="9" xfId="0" applyNumberFormat="1" applyFont="1" applyBorder="1" applyAlignment="1" applyProtection="1">
      <alignment horizontal="right"/>
      <protection/>
    </xf>
    <xf numFmtId="37" fontId="1" fillId="0" borderId="9" xfId="0" applyNumberFormat="1" applyFont="1" applyBorder="1" applyAlignment="1" applyProtection="1">
      <alignment horizontal="right"/>
      <protection/>
    </xf>
    <xf numFmtId="0" fontId="0" fillId="0" borderId="9" xfId="0" applyBorder="1" applyAlignment="1">
      <alignment horizontal="right"/>
    </xf>
    <xf numFmtId="37" fontId="1" fillId="0" borderId="9" xfId="0" applyNumberFormat="1" applyFont="1" applyBorder="1" applyAlignment="1">
      <alignment horizontal="right"/>
    </xf>
    <xf numFmtId="2" fontId="1" fillId="0" borderId="9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2" fillId="0" borderId="12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191" fontId="0" fillId="0" borderId="0" xfId="0" applyNumberFormat="1" applyAlignment="1">
      <alignment/>
    </xf>
    <xf numFmtId="191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2" xfId="0" applyFont="1" applyBorder="1" applyAlignment="1">
      <alignment horizontal="center"/>
    </xf>
    <xf numFmtId="191" fontId="0" fillId="0" borderId="0" xfId="0" applyNumberFormat="1" applyFont="1" applyAlignment="1">
      <alignment horizontal="center"/>
    </xf>
    <xf numFmtId="191" fontId="1" fillId="0" borderId="0" xfId="0" applyNumberFormat="1" applyFont="1" applyAlignment="1">
      <alignment horizontal="center"/>
    </xf>
    <xf numFmtId="191" fontId="0" fillId="0" borderId="0" xfId="0" applyNumberFormat="1" applyAlignment="1">
      <alignment horizontal="center"/>
    </xf>
    <xf numFmtId="37" fontId="1" fillId="2" borderId="9" xfId="0" applyNumberFormat="1" applyFont="1" applyFill="1" applyBorder="1" applyAlignment="1" applyProtection="1">
      <alignment horizontal="right"/>
      <protection/>
    </xf>
    <xf numFmtId="37" fontId="1" fillId="0" borderId="9" xfId="0" applyNumberFormat="1" applyFont="1" applyFill="1" applyBorder="1" applyAlignment="1" applyProtection="1">
      <alignment horizontal="right"/>
      <protection/>
    </xf>
    <xf numFmtId="37" fontId="0" fillId="0" borderId="9" xfId="0" applyNumberFormat="1" applyFont="1" applyFill="1" applyBorder="1" applyAlignment="1" applyProtection="1">
      <alignment horizontal="right"/>
      <protection/>
    </xf>
    <xf numFmtId="37" fontId="1" fillId="0" borderId="9" xfId="0" applyNumberFormat="1" applyFont="1" applyFill="1" applyBorder="1" applyAlignment="1" applyProtection="1">
      <alignment horizontal="right"/>
      <protection/>
    </xf>
    <xf numFmtId="0" fontId="0" fillId="0" borderId="9" xfId="0" applyFill="1" applyBorder="1" applyAlignment="1">
      <alignment horizontal="right"/>
    </xf>
    <xf numFmtId="37" fontId="1" fillId="2" borderId="9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0" fillId="0" borderId="0" xfId="0" applyFont="1" applyAlignment="1">
      <alignment/>
    </xf>
    <xf numFmtId="180" fontId="10" fillId="0" borderId="0" xfId="0" applyNumberFormat="1" applyFont="1" applyBorder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1" xfId="0" applyFont="1" applyBorder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2" fillId="0" borderId="5" xfId="0" applyFont="1" applyBorder="1" applyAlignment="1" applyProtection="1">
      <alignment/>
      <protection/>
    </xf>
    <xf numFmtId="0" fontId="12" fillId="0" borderId="6" xfId="0" applyFont="1" applyBorder="1" applyAlignment="1" applyProtection="1">
      <alignment horizontal="right"/>
      <protection/>
    </xf>
    <xf numFmtId="0" fontId="12" fillId="0" borderId="12" xfId="0" applyFont="1" applyBorder="1" applyAlignment="1" applyProtection="1">
      <alignment/>
      <protection/>
    </xf>
    <xf numFmtId="0" fontId="12" fillId="0" borderId="6" xfId="0" applyFont="1" applyBorder="1" applyAlignment="1" applyProtection="1">
      <alignment/>
      <protection/>
    </xf>
    <xf numFmtId="0" fontId="12" fillId="2" borderId="5" xfId="0" applyFont="1" applyFill="1" applyBorder="1" applyAlignment="1" applyProtection="1">
      <alignment/>
      <protection/>
    </xf>
    <xf numFmtId="0" fontId="12" fillId="0" borderId="15" xfId="0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9" xfId="0" applyFont="1" applyBorder="1" applyAlignment="1" applyProtection="1">
      <alignment horizontal="center"/>
      <protection/>
    </xf>
    <xf numFmtId="0" fontId="13" fillId="0" borderId="7" xfId="0" applyFont="1" applyBorder="1" applyAlignment="1" applyProtection="1">
      <alignment horizontal="center"/>
      <protection/>
    </xf>
    <xf numFmtId="0" fontId="11" fillId="2" borderId="3" xfId="0" applyFont="1" applyFill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7" xfId="0" applyFont="1" applyBorder="1" applyAlignment="1">
      <alignment horizontal="center"/>
    </xf>
    <xf numFmtId="0" fontId="11" fillId="0" borderId="17" xfId="0" applyFont="1" applyBorder="1" applyAlignment="1" applyProtection="1">
      <alignment horizontal="center"/>
      <protection/>
    </xf>
    <xf numFmtId="37" fontId="11" fillId="2" borderId="3" xfId="0" applyNumberFormat="1" applyFont="1" applyFill="1" applyBorder="1" applyAlignment="1" applyProtection="1">
      <alignment horizontal="center"/>
      <protection/>
    </xf>
    <xf numFmtId="0" fontId="12" fillId="0" borderId="8" xfId="0" applyFont="1" applyBorder="1" applyAlignment="1" applyProtection="1">
      <alignment/>
      <protection/>
    </xf>
    <xf numFmtId="0" fontId="13" fillId="0" borderId="1" xfId="0" applyFont="1" applyBorder="1" applyAlignment="1" applyProtection="1">
      <alignment horizontal="right"/>
      <protection/>
    </xf>
    <xf numFmtId="0" fontId="11" fillId="0" borderId="8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/>
      <protection/>
    </xf>
    <xf numFmtId="0" fontId="12" fillId="2" borderId="1" xfId="0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horizontal="center"/>
      <protection/>
    </xf>
    <xf numFmtId="0" fontId="13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3" fillId="0" borderId="22" xfId="0" applyFont="1" applyBorder="1" applyAlignment="1" applyProtection="1">
      <alignment horizontal="center"/>
      <protection/>
    </xf>
    <xf numFmtId="0" fontId="10" fillId="0" borderId="3" xfId="0" applyFont="1" applyBorder="1" applyAlignment="1" applyProtection="1">
      <alignment/>
      <protection/>
    </xf>
    <xf numFmtId="0" fontId="10" fillId="0" borderId="5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/>
      <protection/>
    </xf>
    <xf numFmtId="0" fontId="10" fillId="2" borderId="6" xfId="0" applyFont="1" applyFill="1" applyBorder="1" applyAlignment="1" applyProtection="1">
      <alignment/>
      <protection/>
    </xf>
    <xf numFmtId="0" fontId="10" fillId="0" borderId="1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23" xfId="0" applyFont="1" applyBorder="1" applyAlignment="1" applyProtection="1">
      <alignment horizontal="center"/>
      <protection/>
    </xf>
    <xf numFmtId="0" fontId="10" fillId="0" borderId="24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3" xfId="0" applyFont="1" applyBorder="1" applyAlignment="1" applyProtection="1">
      <alignment/>
      <protection/>
    </xf>
    <xf numFmtId="37" fontId="11" fillId="0" borderId="0" xfId="0" applyNumberFormat="1" applyFont="1" applyAlignment="1" applyProtection="1">
      <alignment horizontal="right"/>
      <protection/>
    </xf>
    <xf numFmtId="37" fontId="11" fillId="0" borderId="3" xfId="0" applyNumberFormat="1" applyFont="1" applyBorder="1" applyAlignment="1" applyProtection="1">
      <alignment horizontal="right"/>
      <protection/>
    </xf>
    <xf numFmtId="37" fontId="11" fillId="0" borderId="9" xfId="0" applyNumberFormat="1" applyFont="1" applyBorder="1" applyAlignment="1" applyProtection="1">
      <alignment horizontal="right"/>
      <protection/>
    </xf>
    <xf numFmtId="180" fontId="11" fillId="0" borderId="0" xfId="0" applyNumberFormat="1" applyFont="1" applyAlignment="1" applyProtection="1">
      <alignment horizontal="right"/>
      <protection/>
    </xf>
    <xf numFmtId="37" fontId="11" fillId="2" borderId="3" xfId="0" applyNumberFormat="1" applyFont="1" applyFill="1" applyBorder="1" applyAlignment="1" applyProtection="1">
      <alignment horizontal="right"/>
      <protection/>
    </xf>
    <xf numFmtId="2" fontId="11" fillId="0" borderId="25" xfId="0" applyNumberFormat="1" applyFont="1" applyBorder="1" applyAlignment="1" applyProtection="1">
      <alignment horizontal="center"/>
      <protection/>
    </xf>
    <xf numFmtId="2" fontId="11" fillId="0" borderId="0" xfId="0" applyNumberFormat="1" applyFont="1" applyBorder="1" applyAlignment="1">
      <alignment horizontal="right"/>
    </xf>
    <xf numFmtId="180" fontId="11" fillId="0" borderId="17" xfId="0" applyNumberFormat="1" applyFont="1" applyBorder="1" applyAlignment="1" applyProtection="1">
      <alignment horizontal="center"/>
      <protection/>
    </xf>
    <xf numFmtId="3" fontId="11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37" fontId="11" fillId="0" borderId="0" xfId="0" applyNumberFormat="1" applyFont="1" applyBorder="1" applyAlignment="1" applyProtection="1">
      <alignment horizontal="right"/>
      <protection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7" fontId="11" fillId="0" borderId="9" xfId="0" applyNumberFormat="1" applyFont="1" applyFill="1" applyBorder="1" applyAlignment="1" applyProtection="1">
      <alignment horizontal="right"/>
      <protection/>
    </xf>
    <xf numFmtId="37" fontId="10" fillId="0" borderId="0" xfId="0" applyNumberFormat="1" applyFont="1" applyAlignment="1" applyProtection="1">
      <alignment horizontal="righ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9" xfId="0" applyNumberFormat="1" applyFont="1" applyBorder="1" applyAlignment="1" applyProtection="1">
      <alignment horizontal="right"/>
      <protection/>
    </xf>
    <xf numFmtId="180" fontId="10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Border="1" applyAlignment="1" applyProtection="1">
      <alignment horizontal="right"/>
      <protection/>
    </xf>
    <xf numFmtId="180" fontId="10" fillId="0" borderId="17" xfId="0" applyNumberFormat="1" applyFont="1" applyBorder="1" applyAlignment="1" applyProtection="1">
      <alignment horizontal="center"/>
      <protection/>
    </xf>
    <xf numFmtId="0" fontId="10" fillId="0" borderId="3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9" xfId="0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0" borderId="0" xfId="0" applyFont="1" applyAlignment="1">
      <alignment horizontal="left"/>
    </xf>
    <xf numFmtId="180" fontId="11" fillId="0" borderId="0" xfId="0" applyNumberFormat="1" applyFont="1" applyBorder="1" applyAlignment="1" applyProtection="1">
      <alignment horizontal="right"/>
      <protection/>
    </xf>
    <xf numFmtId="3" fontId="11" fillId="0" borderId="0" xfId="0" applyNumberFormat="1" applyFont="1" applyBorder="1" applyAlignment="1" applyProtection="1">
      <alignment horizontal="right"/>
      <protection/>
    </xf>
    <xf numFmtId="180" fontId="10" fillId="0" borderId="0" xfId="0" applyNumberFormat="1" applyFont="1" applyBorder="1" applyAlignment="1" applyProtection="1">
      <alignment horizontal="right"/>
      <protection/>
    </xf>
    <xf numFmtId="3" fontId="10" fillId="0" borderId="0" xfId="0" applyNumberFormat="1" applyFont="1" applyBorder="1" applyAlignment="1">
      <alignment horizontal="center"/>
    </xf>
    <xf numFmtId="37" fontId="10" fillId="0" borderId="9" xfId="0" applyNumberFormat="1" applyFont="1" applyFill="1" applyBorder="1" applyAlignment="1" applyProtection="1">
      <alignment horizontal="right"/>
      <protection/>
    </xf>
    <xf numFmtId="3" fontId="10" fillId="0" borderId="0" xfId="0" applyNumberFormat="1" applyFont="1" applyAlignment="1">
      <alignment/>
    </xf>
    <xf numFmtId="3" fontId="10" fillId="0" borderId="3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3" fontId="10" fillId="0" borderId="9" xfId="0" applyNumberFormat="1" applyFont="1" applyFill="1" applyBorder="1" applyAlignment="1">
      <alignment horizontal="right"/>
    </xf>
    <xf numFmtId="49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3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2" fontId="10" fillId="0" borderId="17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37" fontId="11" fillId="0" borderId="3" xfId="0" applyNumberFormat="1" applyFont="1" applyBorder="1" applyAlignment="1">
      <alignment horizontal="right"/>
    </xf>
    <xf numFmtId="37" fontId="11" fillId="0" borderId="9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 vertical="top" wrapText="1"/>
    </xf>
    <xf numFmtId="37" fontId="11" fillId="0" borderId="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right"/>
    </xf>
    <xf numFmtId="2" fontId="11" fillId="0" borderId="3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39" fontId="11" fillId="2" borderId="3" xfId="0" applyNumberFormat="1" applyFont="1" applyFill="1" applyBorder="1" applyAlignment="1" applyProtection="1">
      <alignment horizontal="right"/>
      <protection/>
    </xf>
    <xf numFmtId="2" fontId="11" fillId="0" borderId="25" xfId="0" applyNumberFormat="1" applyFont="1" applyBorder="1" applyAlignment="1">
      <alignment horizontal="center"/>
    </xf>
    <xf numFmtId="0" fontId="11" fillId="0" borderId="3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25" xfId="0" applyFont="1" applyBorder="1" applyAlignment="1">
      <alignment horizontal="center"/>
    </xf>
    <xf numFmtId="37" fontId="11" fillId="0" borderId="0" xfId="0" applyNumberFormat="1" applyFont="1" applyAlignment="1">
      <alignment horizontal="right"/>
    </xf>
    <xf numFmtId="37" fontId="11" fillId="0" borderId="25" xfId="0" applyNumberFormat="1" applyFont="1" applyBorder="1" applyAlignment="1">
      <alignment horizontal="center"/>
    </xf>
    <xf numFmtId="37" fontId="11" fillId="0" borderId="0" xfId="0" applyNumberFormat="1" applyFont="1" applyBorder="1" applyAlignment="1">
      <alignment horizontal="right"/>
    </xf>
    <xf numFmtId="0" fontId="11" fillId="0" borderId="4" xfId="0" applyFont="1" applyBorder="1" applyAlignment="1" applyProtection="1">
      <alignment/>
      <protection/>
    </xf>
    <xf numFmtId="0" fontId="10" fillId="0" borderId="4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2" borderId="4" xfId="0" applyFont="1" applyFill="1" applyBorder="1" applyAlignment="1">
      <alignment horizontal="right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right"/>
    </xf>
    <xf numFmtId="0" fontId="10" fillId="0" borderId="28" xfId="0" applyFont="1" applyBorder="1" applyAlignment="1">
      <alignment horizontal="right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1" fillId="0" borderId="0" xfId="0" applyFont="1" applyAlignment="1" applyProtection="1">
      <alignment/>
      <protection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191" fontId="11" fillId="0" borderId="0" xfId="0" applyNumberFormat="1" applyFont="1" applyAlignment="1">
      <alignment/>
    </xf>
    <xf numFmtId="191" fontId="11" fillId="0" borderId="0" xfId="0" applyNumberFormat="1" applyFont="1" applyAlignment="1">
      <alignment horizontal="center"/>
    </xf>
    <xf numFmtId="191" fontId="10" fillId="0" borderId="0" xfId="0" applyNumberFormat="1" applyFont="1" applyAlignment="1">
      <alignment/>
    </xf>
    <xf numFmtId="191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7" fontId="11" fillId="2" borderId="9" xfId="0" applyNumberFormat="1" applyFont="1" applyFill="1" applyBorder="1" applyAlignment="1" applyProtection="1">
      <alignment horizontal="right"/>
      <protection/>
    </xf>
    <xf numFmtId="37" fontId="11" fillId="3" borderId="9" xfId="0" applyNumberFormat="1" applyFont="1" applyFill="1" applyBorder="1" applyAlignment="1" applyProtection="1">
      <alignment horizontal="right"/>
      <protection/>
    </xf>
    <xf numFmtId="3" fontId="11" fillId="2" borderId="9" xfId="0" applyNumberFormat="1" applyFont="1" applyFill="1" applyBorder="1" applyAlignment="1">
      <alignment horizontal="right"/>
    </xf>
    <xf numFmtId="4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5" xfId="0" applyFont="1" applyFill="1" applyBorder="1" applyAlignment="1" applyProtection="1">
      <alignment/>
      <protection/>
    </xf>
    <xf numFmtId="0" fontId="12" fillId="0" borderId="6" xfId="0" applyFont="1" applyFill="1" applyBorder="1" applyAlignment="1" applyProtection="1">
      <alignment horizontal="right"/>
      <protection/>
    </xf>
    <xf numFmtId="0" fontId="12" fillId="0" borderId="12" xfId="0" applyFont="1" applyFill="1" applyBorder="1" applyAlignment="1" applyProtection="1">
      <alignment/>
      <protection/>
    </xf>
    <xf numFmtId="0" fontId="12" fillId="0" borderId="6" xfId="0" applyFont="1" applyFill="1" applyBorder="1" applyAlignment="1" applyProtection="1">
      <alignment/>
      <protection/>
    </xf>
    <xf numFmtId="0" fontId="12" fillId="0" borderId="15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11" fillId="0" borderId="3" xfId="0" applyFont="1" applyFill="1" applyBorder="1" applyAlignment="1" applyProtection="1">
      <alignment horizontal="center"/>
      <protection/>
    </xf>
    <xf numFmtId="0" fontId="11" fillId="0" borderId="9" xfId="0" applyFont="1" applyFill="1" applyBorder="1" applyAlignment="1" applyProtection="1">
      <alignment horizontal="center"/>
      <protection/>
    </xf>
    <xf numFmtId="0" fontId="13" fillId="0" borderId="7" xfId="0" applyFont="1" applyFill="1" applyBorder="1" applyAlignment="1" applyProtection="1">
      <alignment horizontal="center"/>
      <protection/>
    </xf>
    <xf numFmtId="0" fontId="11" fillId="0" borderId="16" xfId="0" applyFont="1" applyFill="1" applyBorder="1" applyAlignment="1" applyProtection="1">
      <alignment horizontal="center"/>
      <protection/>
    </xf>
    <xf numFmtId="0" fontId="13" fillId="0" borderId="16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3" fillId="0" borderId="17" xfId="0" applyFont="1" applyFill="1" applyBorder="1" applyAlignment="1" applyProtection="1">
      <alignment horizontal="center"/>
      <protection/>
    </xf>
    <xf numFmtId="0" fontId="13" fillId="0" borderId="7" xfId="0" applyFont="1" applyFill="1" applyBorder="1" applyAlignment="1">
      <alignment horizontal="center"/>
    </xf>
    <xf numFmtId="0" fontId="11" fillId="0" borderId="17" xfId="0" applyFont="1" applyFill="1" applyBorder="1" applyAlignment="1" applyProtection="1">
      <alignment horizontal="center"/>
      <protection/>
    </xf>
    <xf numFmtId="37" fontId="11" fillId="0" borderId="3" xfId="0" applyNumberFormat="1" applyFont="1" applyFill="1" applyBorder="1" applyAlignment="1" applyProtection="1">
      <alignment horizontal="center"/>
      <protection/>
    </xf>
    <xf numFmtId="0" fontId="12" fillId="0" borderId="8" xfId="0" applyFont="1" applyFill="1" applyBorder="1" applyAlignment="1" applyProtection="1">
      <alignment/>
      <protection/>
    </xf>
    <xf numFmtId="0" fontId="13" fillId="0" borderId="1" xfId="0" applyFont="1" applyFill="1" applyBorder="1" applyAlignment="1" applyProtection="1">
      <alignment horizontal="right"/>
      <protection/>
    </xf>
    <xf numFmtId="0" fontId="11" fillId="0" borderId="8" xfId="0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2" fillId="0" borderId="13" xfId="0" applyFont="1" applyFill="1" applyBorder="1" applyAlignment="1" applyProtection="1">
      <alignment/>
      <protection/>
    </xf>
    <xf numFmtId="0" fontId="12" fillId="0" borderId="1" xfId="0" applyFont="1" applyFill="1" applyBorder="1" applyAlignment="1" applyProtection="1">
      <alignment/>
      <protection/>
    </xf>
    <xf numFmtId="0" fontId="12" fillId="0" borderId="18" xfId="0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 applyProtection="1">
      <alignment/>
      <protection/>
    </xf>
    <xf numFmtId="0" fontId="12" fillId="0" borderId="19" xfId="0" applyFont="1" applyFill="1" applyBorder="1" applyAlignment="1" applyProtection="1">
      <alignment horizontal="center"/>
      <protection/>
    </xf>
    <xf numFmtId="0" fontId="13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3" fillId="0" borderId="22" xfId="0" applyFont="1" applyFill="1" applyBorder="1" applyAlignment="1" applyProtection="1">
      <alignment horizontal="center"/>
      <protection/>
    </xf>
    <xf numFmtId="0" fontId="10" fillId="0" borderId="3" xfId="0" applyFont="1" applyFill="1" applyBorder="1" applyAlignment="1" applyProtection="1">
      <alignment/>
      <protection/>
    </xf>
    <xf numFmtId="0" fontId="10" fillId="0" borderId="5" xfId="0" applyFont="1" applyFill="1" applyBorder="1" applyAlignment="1" applyProtection="1">
      <alignment/>
      <protection/>
    </xf>
    <xf numFmtId="0" fontId="10" fillId="0" borderId="12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7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23" xfId="0" applyFont="1" applyFill="1" applyBorder="1" applyAlignment="1" applyProtection="1">
      <alignment horizontal="center"/>
      <protection/>
    </xf>
    <xf numFmtId="0" fontId="10" fillId="0" borderId="24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3" xfId="0" applyFont="1" applyFill="1" applyBorder="1" applyAlignment="1" applyProtection="1">
      <alignment/>
      <protection/>
    </xf>
    <xf numFmtId="37" fontId="11" fillId="0" borderId="0" xfId="0" applyNumberFormat="1" applyFont="1" applyFill="1" applyAlignment="1" applyProtection="1">
      <alignment horizontal="right"/>
      <protection/>
    </xf>
    <xf numFmtId="3" fontId="11" fillId="0" borderId="3" xfId="0" applyNumberFormat="1" applyFont="1" applyFill="1" applyBorder="1" applyAlignment="1" applyProtection="1">
      <alignment horizontal="right"/>
      <protection/>
    </xf>
    <xf numFmtId="180" fontId="11" fillId="0" borderId="0" xfId="0" applyNumberFormat="1" applyFont="1" applyFill="1" applyAlignment="1" applyProtection="1">
      <alignment horizontal="right"/>
      <protection/>
    </xf>
    <xf numFmtId="37" fontId="11" fillId="0" borderId="3" xfId="0" applyNumberFormat="1" applyFont="1" applyFill="1" applyBorder="1" applyAlignment="1" applyProtection="1">
      <alignment horizontal="right"/>
      <protection/>
    </xf>
    <xf numFmtId="2" fontId="11" fillId="0" borderId="25" xfId="0" applyNumberFormat="1" applyFont="1" applyFill="1" applyBorder="1" applyAlignment="1" applyProtection="1">
      <alignment horizontal="center"/>
      <protection/>
    </xf>
    <xf numFmtId="2" fontId="11" fillId="0" borderId="0" xfId="0" applyNumberFormat="1" applyFont="1" applyFill="1" applyBorder="1" applyAlignment="1">
      <alignment horizontal="right"/>
    </xf>
    <xf numFmtId="180" fontId="11" fillId="0" borderId="17" xfId="0" applyNumberFormat="1" applyFont="1" applyFill="1" applyBorder="1" applyAlignment="1" applyProtection="1">
      <alignment horizontal="center"/>
      <protection/>
    </xf>
    <xf numFmtId="3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37" fontId="11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/>
    </xf>
    <xf numFmtId="37" fontId="10" fillId="0" borderId="0" xfId="0" applyNumberFormat="1" applyFont="1" applyFill="1" applyAlignment="1" applyProtection="1">
      <alignment horizontal="right"/>
      <protection/>
    </xf>
    <xf numFmtId="3" fontId="10" fillId="0" borderId="3" xfId="0" applyNumberFormat="1" applyFont="1" applyFill="1" applyBorder="1" applyAlignment="1" applyProtection="1">
      <alignment horizontal="right"/>
      <protection/>
    </xf>
    <xf numFmtId="180" fontId="10" fillId="0" borderId="0" xfId="0" applyNumberFormat="1" applyFont="1" applyFill="1" applyAlignment="1" applyProtection="1">
      <alignment horizontal="right"/>
      <protection/>
    </xf>
    <xf numFmtId="37" fontId="10" fillId="0" borderId="0" xfId="0" applyNumberFormat="1" applyFont="1" applyFill="1" applyBorder="1" applyAlignment="1" applyProtection="1">
      <alignment horizontal="right"/>
      <protection/>
    </xf>
    <xf numFmtId="180" fontId="10" fillId="0" borderId="17" xfId="0" applyNumberFormat="1" applyFont="1" applyFill="1" applyBorder="1" applyAlignment="1" applyProtection="1">
      <alignment horizontal="center"/>
      <protection/>
    </xf>
    <xf numFmtId="0" fontId="10" fillId="0" borderId="3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3" fontId="10" fillId="0" borderId="3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180" fontId="11" fillId="0" borderId="0" xfId="0" applyNumberFormat="1" applyFont="1" applyFill="1" applyBorder="1" applyAlignment="1" applyProtection="1">
      <alignment horizontal="right"/>
      <protection/>
    </xf>
    <xf numFmtId="3" fontId="11" fillId="0" borderId="0" xfId="0" applyNumberFormat="1" applyFont="1" applyFill="1" applyBorder="1" applyAlignment="1" applyProtection="1">
      <alignment horizontal="right"/>
      <protection/>
    </xf>
    <xf numFmtId="180" fontId="10" fillId="0" borderId="0" xfId="0" applyNumberFormat="1" applyFont="1" applyFill="1" applyBorder="1" applyAlignment="1" applyProtection="1">
      <alignment horizontal="right"/>
      <protection/>
    </xf>
    <xf numFmtId="3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Alignment="1">
      <alignment/>
    </xf>
    <xf numFmtId="3" fontId="0" fillId="0" borderId="9" xfId="0" applyNumberFormat="1" applyFill="1" applyBorder="1" applyAlignment="1">
      <alignment horizontal="right"/>
    </xf>
    <xf numFmtId="49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1" fillId="0" borderId="3" xfId="0" applyNumberFormat="1" applyFont="1" applyFill="1" applyBorder="1" applyAlignment="1">
      <alignment horizontal="right"/>
    </xf>
    <xf numFmtId="3" fontId="11" fillId="0" borderId="9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37" fontId="11" fillId="0" borderId="9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 vertical="top" wrapText="1"/>
    </xf>
    <xf numFmtId="37" fontId="11" fillId="0" borderId="0" xfId="0" applyNumberFormat="1" applyFont="1" applyFill="1" applyBorder="1" applyAlignment="1">
      <alignment horizontal="center"/>
    </xf>
    <xf numFmtId="37" fontId="1" fillId="0" borderId="9" xfId="0" applyNumberFormat="1" applyFont="1" applyFill="1" applyBorder="1" applyAlignment="1">
      <alignment horizontal="right"/>
    </xf>
    <xf numFmtId="2" fontId="11" fillId="0" borderId="0" xfId="0" applyNumberFormat="1" applyFont="1" applyFill="1" applyAlignment="1">
      <alignment horizontal="right"/>
    </xf>
    <xf numFmtId="4" fontId="11" fillId="0" borderId="3" xfId="0" applyNumberFormat="1" applyFont="1" applyFill="1" applyBorder="1" applyAlignment="1">
      <alignment horizontal="right"/>
    </xf>
    <xf numFmtId="2" fontId="11" fillId="0" borderId="9" xfId="0" applyNumberFormat="1" applyFont="1" applyFill="1" applyBorder="1" applyAlignment="1">
      <alignment horizontal="right"/>
    </xf>
    <xf numFmtId="39" fontId="11" fillId="0" borderId="3" xfId="0" applyNumberFormat="1" applyFont="1" applyFill="1" applyBorder="1" applyAlignment="1" applyProtection="1">
      <alignment horizontal="right"/>
      <protection/>
    </xf>
    <xf numFmtId="2" fontId="11" fillId="0" borderId="25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right"/>
    </xf>
    <xf numFmtId="4" fontId="10" fillId="0" borderId="0" xfId="0" applyNumberFormat="1" applyFont="1" applyFill="1" applyAlignment="1">
      <alignment/>
    </xf>
    <xf numFmtId="191" fontId="10" fillId="0" borderId="0" xfId="0" applyNumberFormat="1" applyFont="1" applyFill="1" applyAlignment="1">
      <alignment/>
    </xf>
    <xf numFmtId="0" fontId="11" fillId="0" borderId="9" xfId="0" applyFont="1" applyFill="1" applyBorder="1" applyAlignment="1">
      <alignment horizontal="right"/>
    </xf>
    <xf numFmtId="0" fontId="11" fillId="0" borderId="2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right"/>
    </xf>
    <xf numFmtId="37" fontId="11" fillId="0" borderId="0" xfId="0" applyNumberFormat="1" applyFont="1" applyFill="1" applyAlignment="1">
      <alignment horizontal="right"/>
    </xf>
    <xf numFmtId="37" fontId="11" fillId="0" borderId="25" xfId="0" applyNumberFormat="1" applyFont="1" applyFill="1" applyBorder="1" applyAlignment="1">
      <alignment horizontal="center"/>
    </xf>
    <xf numFmtId="37" fontId="11" fillId="0" borderId="0" xfId="0" applyNumberFormat="1" applyFont="1" applyFill="1" applyBorder="1" applyAlignment="1">
      <alignment horizontal="right"/>
    </xf>
    <xf numFmtId="0" fontId="11" fillId="0" borderId="4" xfId="0" applyFont="1" applyFill="1" applyBorder="1" applyAlignment="1" applyProtection="1">
      <alignment/>
      <protection/>
    </xf>
    <xf numFmtId="0" fontId="10" fillId="0" borderId="4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right"/>
    </xf>
    <xf numFmtId="0" fontId="10" fillId="0" borderId="28" xfId="0" applyFont="1" applyFill="1" applyBorder="1" applyAlignment="1">
      <alignment horizontal="right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10" fillId="0" borderId="2" xfId="0" applyFont="1" applyFill="1" applyBorder="1" applyAlignment="1">
      <alignment/>
    </xf>
    <xf numFmtId="0" fontId="10" fillId="0" borderId="2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center"/>
    </xf>
    <xf numFmtId="0" fontId="11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91" fontId="11" fillId="0" borderId="0" xfId="0" applyNumberFormat="1" applyFont="1" applyFill="1" applyAlignment="1">
      <alignment/>
    </xf>
    <xf numFmtId="191" fontId="11" fillId="0" borderId="0" xfId="0" applyNumberFormat="1" applyFont="1" applyFill="1" applyAlignment="1">
      <alignment horizontal="center"/>
    </xf>
    <xf numFmtId="191" fontId="10" fillId="0" borderId="0" xfId="0" applyNumberFormat="1" applyFont="1" applyFill="1" applyAlignment="1">
      <alignment horizontal="center"/>
    </xf>
    <xf numFmtId="0" fontId="13" fillId="2" borderId="32" xfId="0" applyFont="1" applyFill="1" applyBorder="1" applyAlignment="1" applyProtection="1">
      <alignment horizontal="center"/>
      <protection/>
    </xf>
    <xf numFmtId="0" fontId="13" fillId="2" borderId="33" xfId="0" applyFont="1" applyFill="1" applyBorder="1" applyAlignment="1" applyProtection="1">
      <alignment horizontal="center"/>
      <protection/>
    </xf>
    <xf numFmtId="0" fontId="13" fillId="2" borderId="34" xfId="0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center"/>
      <protection/>
    </xf>
    <xf numFmtId="0" fontId="13" fillId="0" borderId="33" xfId="0" applyFont="1" applyFill="1" applyBorder="1" applyAlignment="1" applyProtection="1">
      <alignment horizontal="center"/>
      <protection/>
    </xf>
    <xf numFmtId="0" fontId="13" fillId="0" borderId="34" xfId="0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zoomScale="75" zoomScaleNormal="75" workbookViewId="0" topLeftCell="A1">
      <pane xSplit="3" ySplit="8" topLeftCell="E3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J4" sqref="J4:O4"/>
    </sheetView>
  </sheetViews>
  <sheetFormatPr defaultColWidth="9.140625" defaultRowHeight="12.75"/>
  <cols>
    <col min="1" max="1" width="8.8515625" style="22" customWidth="1"/>
    <col min="2" max="2" width="35.140625" style="22" customWidth="1"/>
    <col min="3" max="3" width="0.9921875" style="22" hidden="1" customWidth="1"/>
    <col min="4" max="4" width="10.421875" style="22" hidden="1" customWidth="1"/>
    <col min="5" max="5" width="10.421875" style="22" customWidth="1"/>
    <col min="6" max="6" width="10.421875" style="22" bestFit="1" customWidth="1"/>
    <col min="7" max="7" width="10.00390625" style="22" bestFit="1" customWidth="1"/>
    <col min="8" max="8" width="12.7109375" style="22" bestFit="1" customWidth="1"/>
    <col min="9" max="9" width="12.140625" style="43" customWidth="1"/>
    <col min="10" max="10" width="12.421875" style="22" customWidth="1"/>
    <col min="11" max="11" width="9.140625" style="22" hidden="1" customWidth="1"/>
    <col min="12" max="12" width="12.00390625" style="43" customWidth="1"/>
    <col min="13" max="13" width="14.7109375" style="43" hidden="1" customWidth="1"/>
    <col min="14" max="14" width="9.421875" style="43" hidden="1" customWidth="1"/>
    <col min="15" max="15" width="12.140625" style="77" customWidth="1"/>
    <col min="16" max="16" width="8.8515625" style="22" customWidth="1"/>
    <col min="17" max="17" width="13.8515625" style="22" bestFit="1" customWidth="1"/>
    <col min="18" max="18" width="12.7109375" style="22" bestFit="1" customWidth="1"/>
    <col min="19" max="19" width="12.140625" style="22" hidden="1" customWidth="1"/>
    <col min="20" max="16384" width="8.8515625" style="22" customWidth="1"/>
  </cols>
  <sheetData>
    <row r="1" ht="12.75">
      <c r="B1" s="5" t="s">
        <v>0</v>
      </c>
    </row>
    <row r="2" ht="12.75">
      <c r="B2" s="55" t="s">
        <v>58</v>
      </c>
    </row>
    <row r="3" spans="2:12" ht="13.5" thickBot="1">
      <c r="B3" s="3"/>
      <c r="C3" s="18"/>
      <c r="D3" s="1"/>
      <c r="E3" s="1"/>
      <c r="F3" s="1"/>
      <c r="G3" s="1"/>
      <c r="H3" s="1"/>
      <c r="I3" s="78"/>
      <c r="J3" s="1"/>
      <c r="K3" s="1"/>
      <c r="L3" s="78"/>
    </row>
    <row r="4" spans="2:15" ht="15" thickBot="1">
      <c r="B4" s="44"/>
      <c r="C4" s="45"/>
      <c r="D4" s="44"/>
      <c r="E4" s="44"/>
      <c r="F4" s="71"/>
      <c r="G4" s="46"/>
      <c r="H4" s="105"/>
      <c r="I4" s="106"/>
      <c r="J4" s="360" t="s">
        <v>66</v>
      </c>
      <c r="K4" s="361"/>
      <c r="L4" s="361"/>
      <c r="M4" s="361"/>
      <c r="N4" s="361"/>
      <c r="O4" s="362"/>
    </row>
    <row r="5" spans="2:15" ht="16.5">
      <c r="B5" s="47"/>
      <c r="C5" s="48"/>
      <c r="D5" s="56" t="s">
        <v>50</v>
      </c>
      <c r="E5" s="56" t="s">
        <v>50</v>
      </c>
      <c r="F5" s="58" t="s">
        <v>50</v>
      </c>
      <c r="G5" s="49" t="s">
        <v>16</v>
      </c>
      <c r="H5" s="112" t="s">
        <v>48</v>
      </c>
      <c r="I5" s="113">
        <v>2007</v>
      </c>
      <c r="J5" s="114">
        <v>2008</v>
      </c>
      <c r="K5" s="115" t="s">
        <v>46</v>
      </c>
      <c r="L5" s="116" t="s">
        <v>43</v>
      </c>
      <c r="M5" s="117" t="s">
        <v>45</v>
      </c>
      <c r="N5" s="115" t="s">
        <v>43</v>
      </c>
      <c r="O5" s="113">
        <v>2008</v>
      </c>
    </row>
    <row r="6" spans="2:15" ht="16.5">
      <c r="B6" s="47"/>
      <c r="C6" s="48"/>
      <c r="D6" s="56"/>
      <c r="E6" s="56"/>
      <c r="F6" s="58"/>
      <c r="G6" s="50"/>
      <c r="H6" s="112">
        <v>2007</v>
      </c>
      <c r="I6" s="113" t="s">
        <v>57</v>
      </c>
      <c r="J6" s="114"/>
      <c r="K6" s="115" t="s">
        <v>47</v>
      </c>
      <c r="L6" s="116" t="s">
        <v>16</v>
      </c>
      <c r="M6" s="117">
        <v>2006</v>
      </c>
      <c r="N6" s="115" t="s">
        <v>16</v>
      </c>
      <c r="O6" s="113" t="s">
        <v>61</v>
      </c>
    </row>
    <row r="7" spans="2:15" ht="16.5">
      <c r="B7" s="47"/>
      <c r="C7" s="48">
        <v>2002</v>
      </c>
      <c r="D7" s="56">
        <v>2007</v>
      </c>
      <c r="E7" s="56">
        <v>2007</v>
      </c>
      <c r="F7" s="58">
        <v>2008</v>
      </c>
      <c r="G7" s="48" t="s">
        <v>59</v>
      </c>
      <c r="H7" s="119" t="s">
        <v>64</v>
      </c>
      <c r="I7" s="113" t="s">
        <v>55</v>
      </c>
      <c r="J7" s="118" t="s">
        <v>64</v>
      </c>
      <c r="K7" s="115">
        <v>2003</v>
      </c>
      <c r="L7" s="116" t="s">
        <v>60</v>
      </c>
      <c r="M7" s="117"/>
      <c r="N7" s="115" t="s">
        <v>52</v>
      </c>
      <c r="O7" s="113" t="s">
        <v>55</v>
      </c>
    </row>
    <row r="8" spans="2:15" ht="15" thickBot="1">
      <c r="B8" s="51"/>
      <c r="C8" s="52"/>
      <c r="D8" s="57"/>
      <c r="E8" s="57"/>
      <c r="F8" s="63"/>
      <c r="G8" s="53"/>
      <c r="H8" s="125"/>
      <c r="I8" s="126"/>
      <c r="J8" s="127"/>
      <c r="K8" s="128"/>
      <c r="L8" s="129"/>
      <c r="M8" s="130"/>
      <c r="N8" s="131"/>
      <c r="O8" s="132"/>
    </row>
    <row r="9" spans="2:15" ht="16.5">
      <c r="B9" s="31"/>
      <c r="C9" s="18"/>
      <c r="D9" s="72"/>
      <c r="E9" s="72"/>
      <c r="F9" s="76"/>
      <c r="G9" s="1"/>
      <c r="H9" s="137"/>
      <c r="I9" s="138"/>
      <c r="J9" s="139"/>
      <c r="K9" s="140"/>
      <c r="L9" s="141"/>
      <c r="M9" s="142"/>
      <c r="N9" s="142"/>
      <c r="O9" s="143"/>
    </row>
    <row r="10" spans="2:19" ht="16.5">
      <c r="B10" s="40" t="s">
        <v>1</v>
      </c>
      <c r="C10" s="10">
        <f>C12+C29</f>
        <v>915767</v>
      </c>
      <c r="D10" s="32">
        <f>D12+D29</f>
        <v>267201</v>
      </c>
      <c r="E10" s="32">
        <f>E12+E29</f>
        <v>456540.0137371556</v>
      </c>
      <c r="F10" s="64">
        <f>F12+F29</f>
        <v>567943</v>
      </c>
      <c r="G10" s="11">
        <f>(+F10/E10)*100-100</f>
        <v>24.401582098120883</v>
      </c>
      <c r="H10" s="149">
        <f>H12+H29</f>
        <v>7303699.78081719</v>
      </c>
      <c r="I10" s="150">
        <f>+H10/1000/$G$59*100</f>
        <v>47.150515880494545</v>
      </c>
      <c r="J10" s="147">
        <f>J12+J29</f>
        <v>7444400</v>
      </c>
      <c r="K10" s="151">
        <f>+J10/1000/$K$59*100</f>
        <v>90.12263477113423</v>
      </c>
      <c r="L10" s="152">
        <f>(+J10/H10-1)*100</f>
        <v>1.9264239139778372</v>
      </c>
      <c r="M10" s="153" t="e">
        <f>+M12+M29</f>
        <v>#DIV/0!</v>
      </c>
      <c r="N10" s="154" t="e">
        <f>(M10/H10-1)*100</f>
        <v>#DIV/0!</v>
      </c>
      <c r="O10" s="155">
        <f>+J10/1000/$J$59*100</f>
        <v>45.421045249934835</v>
      </c>
      <c r="Q10" s="22">
        <v>3821440</v>
      </c>
      <c r="R10" s="22">
        <f>+Q10/0.585274</f>
        <v>6529317.892132575</v>
      </c>
      <c r="S10" s="84">
        <f>S12+S29</f>
        <v>3821440</v>
      </c>
    </row>
    <row r="11" spans="2:19" ht="16.5">
      <c r="B11" s="40"/>
      <c r="C11" s="10"/>
      <c r="D11" s="32"/>
      <c r="E11" s="32"/>
      <c r="F11" s="64"/>
      <c r="G11" s="11"/>
      <c r="H11" s="149"/>
      <c r="I11" s="150"/>
      <c r="J11" s="147"/>
      <c r="K11" s="156"/>
      <c r="L11" s="152"/>
      <c r="M11" s="157"/>
      <c r="N11" s="158"/>
      <c r="O11" s="155"/>
      <c r="Q11" s="89"/>
      <c r="S11" s="84"/>
    </row>
    <row r="12" spans="2:19" ht="16.5">
      <c r="B12" s="40" t="s">
        <v>2</v>
      </c>
      <c r="C12" s="10">
        <f>C13+C28</f>
        <v>915200</v>
      </c>
      <c r="D12" s="32">
        <f>D13+D28</f>
        <v>266459</v>
      </c>
      <c r="E12" s="32">
        <f>E13+E28</f>
        <v>455272.23146765446</v>
      </c>
      <c r="F12" s="64">
        <f>F13+F28</f>
        <v>566136</v>
      </c>
      <c r="G12" s="11">
        <f aca="true" t="shared" si="0" ref="G12:G17">(+F12/E12)*100-100</f>
        <v>24.351093888365554</v>
      </c>
      <c r="H12" s="149">
        <f>H13+H28</f>
        <v>7303699.78081719</v>
      </c>
      <c r="I12" s="150">
        <f aca="true" t="shared" si="1" ref="I12:I51">+H12/1000/$G$59*100</f>
        <v>47.150515880494545</v>
      </c>
      <c r="J12" s="147">
        <f>J13+J28</f>
        <v>7444400</v>
      </c>
      <c r="K12" s="151">
        <f>+J12/1000/$K$59*100</f>
        <v>90.12263477113423</v>
      </c>
      <c r="L12" s="152">
        <f aca="true" t="shared" si="2" ref="L12:L17">(+J12/H12-1)*100</f>
        <v>1.9264239139778372</v>
      </c>
      <c r="M12" s="153" t="e">
        <f>+M13+M28</f>
        <v>#DIV/0!</v>
      </c>
      <c r="N12" s="154" t="e">
        <f aca="true" t="shared" si="3" ref="N12:N17">(M12/H12-1)*100</f>
        <v>#DIV/0!</v>
      </c>
      <c r="O12" s="155">
        <f aca="true" t="shared" si="4" ref="O12:O24">+J12/1000/$J$59*100</f>
        <v>45.421045249934835</v>
      </c>
      <c r="Q12" s="22">
        <v>3798302</v>
      </c>
      <c r="R12" s="22">
        <f aca="true" t="shared" si="5" ref="R12:R54">+Q12/0.585274</f>
        <v>6489784.271982012</v>
      </c>
      <c r="S12" s="84">
        <f>S13+S28</f>
        <v>3798302</v>
      </c>
    </row>
    <row r="13" spans="2:19" ht="16.5">
      <c r="B13" s="40" t="s">
        <v>3</v>
      </c>
      <c r="C13" s="10">
        <f>C14+C27</f>
        <v>914845</v>
      </c>
      <c r="D13" s="32">
        <f>D14+D27</f>
        <v>266459</v>
      </c>
      <c r="E13" s="32">
        <f>E14+E27</f>
        <v>455272.23146765446</v>
      </c>
      <c r="F13" s="64">
        <f>F14+F27</f>
        <v>566136</v>
      </c>
      <c r="G13" s="11">
        <f t="shared" si="0"/>
        <v>24.351093888365554</v>
      </c>
      <c r="H13" s="149">
        <f>H14+H27</f>
        <v>7292199.78081719</v>
      </c>
      <c r="I13" s="150">
        <f t="shared" si="1"/>
        <v>47.07627529710558</v>
      </c>
      <c r="J13" s="147">
        <f>J14+J27</f>
        <v>7444400</v>
      </c>
      <c r="K13" s="151">
        <f aca="true" t="shared" si="6" ref="K13:K24">+J13/1000/$K$59*100</f>
        <v>90.12263477113423</v>
      </c>
      <c r="L13" s="152">
        <f t="shared" si="2"/>
        <v>2.0871646931998056</v>
      </c>
      <c r="M13" s="153">
        <f>+M14+M27</f>
        <v>2824200</v>
      </c>
      <c r="N13" s="154">
        <f t="shared" si="3"/>
        <v>-61.27094587521695</v>
      </c>
      <c r="O13" s="155">
        <f t="shared" si="4"/>
        <v>45.421045249934835</v>
      </c>
      <c r="Q13" s="22">
        <v>3798302</v>
      </c>
      <c r="R13" s="22">
        <f t="shared" si="5"/>
        <v>6489784.271982012</v>
      </c>
      <c r="S13" s="84">
        <f>S14+S27</f>
        <v>3798302</v>
      </c>
    </row>
    <row r="14" spans="2:19" ht="16.5">
      <c r="B14" s="40" t="s">
        <v>4</v>
      </c>
      <c r="C14" s="10">
        <f>C15+C19+C26</f>
        <v>788907</v>
      </c>
      <c r="D14" s="32">
        <f>D15+D19+D26</f>
        <v>240958</v>
      </c>
      <c r="E14" s="32">
        <f>E15+E19+E26</f>
        <v>411701.1861111206</v>
      </c>
      <c r="F14" s="64">
        <f>F15+F19+F26</f>
        <v>534098</v>
      </c>
      <c r="G14" s="11">
        <f t="shared" si="0"/>
        <v>29.72952666107787</v>
      </c>
      <c r="H14" s="149">
        <f>H15+H19+H26</f>
        <v>6537699.78081719</v>
      </c>
      <c r="I14" s="150">
        <f t="shared" si="1"/>
        <v>42.20544745649947</v>
      </c>
      <c r="J14" s="147">
        <f>J15+J19+J26</f>
        <v>6751500</v>
      </c>
      <c r="K14" s="151">
        <f t="shared" si="6"/>
        <v>81.73431957677083</v>
      </c>
      <c r="L14" s="152">
        <f t="shared" si="2"/>
        <v>3.270266704661773</v>
      </c>
      <c r="M14" s="153">
        <f>+M15+M19+M26</f>
        <v>2442200</v>
      </c>
      <c r="N14" s="154">
        <f t="shared" si="3"/>
        <v>-62.64435379602682</v>
      </c>
      <c r="O14" s="155">
        <f t="shared" si="4"/>
        <v>41.193405379202495</v>
      </c>
      <c r="Q14" s="22">
        <v>3371615</v>
      </c>
      <c r="R14" s="22">
        <f t="shared" si="5"/>
        <v>5760746.248765536</v>
      </c>
      <c r="S14" s="84">
        <f>S15+S19+S26</f>
        <v>3371615</v>
      </c>
    </row>
    <row r="15" spans="2:19" ht="16.5">
      <c r="B15" s="40" t="s">
        <v>5</v>
      </c>
      <c r="C15" s="10">
        <f>C16+C17</f>
        <v>267215</v>
      </c>
      <c r="D15" s="32">
        <f>D16+D17</f>
        <v>104150</v>
      </c>
      <c r="E15" s="32">
        <f>E16+E17</f>
        <v>177950.84011932873</v>
      </c>
      <c r="F15" s="64">
        <f>F16+F17</f>
        <v>219273</v>
      </c>
      <c r="G15" s="11">
        <f t="shared" si="0"/>
        <v>23.221109747479602</v>
      </c>
      <c r="H15" s="149">
        <f>H16+H17</f>
        <v>2176000</v>
      </c>
      <c r="I15" s="150">
        <f t="shared" si="1"/>
        <v>14.047609517771903</v>
      </c>
      <c r="J15" s="147">
        <f>J16+J17</f>
        <v>2195600</v>
      </c>
      <c r="K15" s="151">
        <f t="shared" si="6"/>
        <v>26.580148420759535</v>
      </c>
      <c r="L15" s="152">
        <f t="shared" si="2"/>
        <v>0.9007352941176494</v>
      </c>
      <c r="M15" s="153">
        <f>+M16+M17</f>
        <v>798200</v>
      </c>
      <c r="N15" s="154">
        <f t="shared" si="3"/>
        <v>-63.318014705882355</v>
      </c>
      <c r="O15" s="155">
        <f t="shared" si="4"/>
        <v>13.396169866041173</v>
      </c>
      <c r="Q15" s="22">
        <v>1294275</v>
      </c>
      <c r="R15" s="22">
        <f t="shared" si="5"/>
        <v>2211400.1305371504</v>
      </c>
      <c r="S15" s="84">
        <f>S16+S17</f>
        <v>1294275</v>
      </c>
    </row>
    <row r="16" spans="2:19" ht="16.5">
      <c r="B16" s="40" t="s">
        <v>6</v>
      </c>
      <c r="C16" s="10">
        <v>191033</v>
      </c>
      <c r="D16" s="32">
        <f>59997+4490</f>
        <v>64487</v>
      </c>
      <c r="E16" s="32">
        <f>+D16/0.585274</f>
        <v>110182.58115002546</v>
      </c>
      <c r="F16" s="64">
        <f>111824-12195</f>
        <v>99629</v>
      </c>
      <c r="G16" s="11">
        <f t="shared" si="0"/>
        <v>-9.578266400980056</v>
      </c>
      <c r="H16" s="149">
        <v>1680040</v>
      </c>
      <c r="I16" s="150">
        <f t="shared" si="1"/>
        <v>10.845839105807679</v>
      </c>
      <c r="J16" s="147">
        <v>1669660</v>
      </c>
      <c r="K16" s="151">
        <f t="shared" si="6"/>
        <v>20.2130673220101</v>
      </c>
      <c r="L16" s="152">
        <f t="shared" si="2"/>
        <v>-0.6178424323230347</v>
      </c>
      <c r="M16" s="153">
        <f>-5000+502900</f>
        <v>497900</v>
      </c>
      <c r="N16" s="154">
        <f t="shared" si="3"/>
        <v>-70.36380086188424</v>
      </c>
      <c r="O16" s="155">
        <f t="shared" si="4"/>
        <v>10.187214874537398</v>
      </c>
      <c r="Q16" s="22">
        <v>983280</v>
      </c>
      <c r="R16" s="22">
        <f t="shared" si="5"/>
        <v>1680033.6252763665</v>
      </c>
      <c r="S16" s="84">
        <f>983282-2</f>
        <v>983280</v>
      </c>
    </row>
    <row r="17" spans="2:19" ht="16.5">
      <c r="B17" s="40" t="s">
        <v>7</v>
      </c>
      <c r="C17" s="10">
        <v>76182</v>
      </c>
      <c r="D17" s="32">
        <f>2919-10467+47211</f>
        <v>39663</v>
      </c>
      <c r="E17" s="32">
        <f>+D17/0.585274</f>
        <v>67768.25896930326</v>
      </c>
      <c r="F17" s="64">
        <f>5241+4231+110172</f>
        <v>119644</v>
      </c>
      <c r="G17" s="11">
        <f t="shared" si="0"/>
        <v>76.54872918336991</v>
      </c>
      <c r="H17" s="149">
        <f>2176000-1680040</f>
        <v>495960</v>
      </c>
      <c r="I17" s="150">
        <f t="shared" si="1"/>
        <v>3.2017704119642247</v>
      </c>
      <c r="J17" s="159">
        <v>525940</v>
      </c>
      <c r="K17" s="151">
        <f t="shared" si="6"/>
        <v>6.367081098749441</v>
      </c>
      <c r="L17" s="152">
        <f t="shared" si="2"/>
        <v>6.0448423259940265</v>
      </c>
      <c r="M17" s="153">
        <f>308300-8000</f>
        <v>300300</v>
      </c>
      <c r="N17" s="154">
        <f t="shared" si="3"/>
        <v>-39.450762158238575</v>
      </c>
      <c r="O17" s="155">
        <f t="shared" si="4"/>
        <v>3.208954991503779</v>
      </c>
      <c r="Q17" s="22">
        <v>310995</v>
      </c>
      <c r="R17" s="22">
        <f t="shared" si="5"/>
        <v>531366.5052607838</v>
      </c>
      <c r="S17" s="84">
        <f>68373+48085+194537</f>
        <v>310995</v>
      </c>
    </row>
    <row r="18" spans="2:19" ht="16.5">
      <c r="B18" s="31"/>
      <c r="C18" s="6"/>
      <c r="D18" s="33"/>
      <c r="E18" s="32"/>
      <c r="F18" s="65"/>
      <c r="G18" s="12"/>
      <c r="H18" s="149"/>
      <c r="I18" s="150"/>
      <c r="J18" s="147"/>
      <c r="K18" s="164"/>
      <c r="L18" s="165"/>
      <c r="M18" s="158"/>
      <c r="N18" s="158"/>
      <c r="O18" s="155">
        <f t="shared" si="4"/>
        <v>0</v>
      </c>
      <c r="S18" s="85"/>
    </row>
    <row r="19" spans="2:19" ht="16.5">
      <c r="B19" s="40" t="s">
        <v>9</v>
      </c>
      <c r="C19" s="10">
        <f>C20+C21</f>
        <v>371674</v>
      </c>
      <c r="D19" s="32">
        <f>D20+D21</f>
        <v>117163</v>
      </c>
      <c r="E19" s="32">
        <f>E20+E21</f>
        <v>200184.87067595692</v>
      </c>
      <c r="F19" s="64">
        <f>F20+F21</f>
        <v>228831</v>
      </c>
      <c r="G19" s="11">
        <f aca="true" t="shared" si="7" ref="G19:G24">(+F19/E19)*100-100</f>
        <v>14.309837315534764</v>
      </c>
      <c r="H19" s="149">
        <f>H20+H21</f>
        <v>3113899.78081719</v>
      </c>
      <c r="I19" s="150">
        <f t="shared" si="1"/>
        <v>20.10241185588024</v>
      </c>
      <c r="J19" s="147">
        <f>J20+J21</f>
        <v>3217300</v>
      </c>
      <c r="K19" s="151">
        <f t="shared" si="6"/>
        <v>38.94894858540247</v>
      </c>
      <c r="L19" s="152">
        <f aca="true" t="shared" si="8" ref="L19:L24">(+J19/H19-1)*100</f>
        <v>3.3206020251452806</v>
      </c>
      <c r="M19" s="153">
        <f>+M20+M21</f>
        <v>1207200</v>
      </c>
      <c r="N19" s="154">
        <f aca="true" t="shared" si="9" ref="N19:N24">(M19/H19-1)*100</f>
        <v>-61.23189296467368</v>
      </c>
      <c r="O19" s="155">
        <f t="shared" si="4"/>
        <v>19.62994047641386</v>
      </c>
      <c r="Q19" s="22">
        <v>1614601</v>
      </c>
      <c r="R19" s="22">
        <f t="shared" si="5"/>
        <v>2758709.5958474153</v>
      </c>
      <c r="S19" s="84">
        <f>S20+S21</f>
        <v>1614601</v>
      </c>
    </row>
    <row r="20" spans="2:19" ht="16.5">
      <c r="B20" s="40" t="s">
        <v>10</v>
      </c>
      <c r="C20" s="10">
        <v>36073</v>
      </c>
      <c r="D20" s="32">
        <f>2283+2842</f>
        <v>5125</v>
      </c>
      <c r="E20" s="32">
        <f>+D20/0.585274</f>
        <v>8756.582387052902</v>
      </c>
      <c r="F20" s="64">
        <f>4086+10989</f>
        <v>15075</v>
      </c>
      <c r="G20" s="11">
        <f t="shared" si="7"/>
        <v>72.15620585365855</v>
      </c>
      <c r="H20" s="149">
        <v>50220</v>
      </c>
      <c r="I20" s="150">
        <f t="shared" si="1"/>
        <v>0.3242053998081365</v>
      </c>
      <c r="J20" s="147">
        <v>53840</v>
      </c>
      <c r="K20" s="151">
        <f t="shared" si="6"/>
        <v>0.6517923077854316</v>
      </c>
      <c r="L20" s="152">
        <f t="shared" si="8"/>
        <v>7.2082835523695765</v>
      </c>
      <c r="M20" s="153">
        <v>26700</v>
      </c>
      <c r="N20" s="154">
        <f t="shared" si="9"/>
        <v>-46.83393070489845</v>
      </c>
      <c r="O20" s="155">
        <f t="shared" si="4"/>
        <v>0.32849780724524363</v>
      </c>
      <c r="Q20" s="22">
        <v>29395</v>
      </c>
      <c r="R20" s="22">
        <f t="shared" si="5"/>
        <v>50224.339369252695</v>
      </c>
      <c r="S20" s="84">
        <f>28356+1039</f>
        <v>29395</v>
      </c>
    </row>
    <row r="21" spans="2:19" ht="16.5">
      <c r="B21" s="40" t="s">
        <v>11</v>
      </c>
      <c r="C21" s="10">
        <v>335601</v>
      </c>
      <c r="D21" s="32">
        <f>SUM(D22:D24)</f>
        <v>112038</v>
      </c>
      <c r="E21" s="32">
        <f>SUM(E22:E24)</f>
        <v>191428.288288904</v>
      </c>
      <c r="F21" s="64">
        <f>SUM(F22:F24)</f>
        <v>213756</v>
      </c>
      <c r="G21" s="11">
        <f t="shared" si="7"/>
        <v>11.66374725004016</v>
      </c>
      <c r="H21" s="149">
        <f>SUM(H22:H24)</f>
        <v>3063679.78081719</v>
      </c>
      <c r="I21" s="150">
        <f t="shared" si="1"/>
        <v>19.778206456072105</v>
      </c>
      <c r="J21" s="147">
        <f>SUM(J22:J24)</f>
        <v>3163460</v>
      </c>
      <c r="K21" s="151">
        <f t="shared" si="6"/>
        <v>38.29715627761704</v>
      </c>
      <c r="L21" s="152">
        <f t="shared" si="8"/>
        <v>3.2568749452070556</v>
      </c>
      <c r="M21" s="153">
        <f>+M22+M23+M24</f>
        <v>1180500</v>
      </c>
      <c r="N21" s="154">
        <f t="shared" si="9"/>
        <v>-61.467905118820234</v>
      </c>
      <c r="O21" s="155">
        <f t="shared" si="4"/>
        <v>19.30144266916862</v>
      </c>
      <c r="Q21" s="22">
        <v>1585206</v>
      </c>
      <c r="R21" s="22">
        <f t="shared" si="5"/>
        <v>2708485.2564781625</v>
      </c>
      <c r="S21" s="84">
        <f>SUM(S22:S24)</f>
        <v>1585206</v>
      </c>
    </row>
    <row r="22" spans="2:19" ht="16.5">
      <c r="B22" s="40" t="s">
        <v>12</v>
      </c>
      <c r="C22" s="10">
        <v>88941</v>
      </c>
      <c r="D22" s="32">
        <f>28427+297</f>
        <v>28724</v>
      </c>
      <c r="E22" s="32">
        <f>+D22/0.585274</f>
        <v>49077.867802089284</v>
      </c>
      <c r="F22" s="64">
        <f>27570+32805</f>
        <v>60375</v>
      </c>
      <c r="G22" s="11">
        <f t="shared" si="7"/>
        <v>23.018791776911286</v>
      </c>
      <c r="H22" s="149">
        <v>620261.6210527036</v>
      </c>
      <c r="I22" s="150">
        <f t="shared" si="1"/>
        <v>4.004224747889977</v>
      </c>
      <c r="J22" s="159">
        <v>635700</v>
      </c>
      <c r="K22" s="151">
        <f t="shared" si="6"/>
        <v>7.695846397830588</v>
      </c>
      <c r="L22" s="152">
        <f t="shared" si="8"/>
        <v>2.4890108340242856</v>
      </c>
      <c r="M22" s="153">
        <v>347400</v>
      </c>
      <c r="N22" s="154">
        <f t="shared" si="9"/>
        <v>-43.99137586323732</v>
      </c>
      <c r="O22" s="155">
        <f t="shared" si="4"/>
        <v>3.878641457388585</v>
      </c>
      <c r="Q22" s="22">
        <v>363023</v>
      </c>
      <c r="R22" s="22">
        <f t="shared" si="5"/>
        <v>620261.6210527036</v>
      </c>
      <c r="S22" s="84">
        <f>362541+482</f>
        <v>363023</v>
      </c>
    </row>
    <row r="23" spans="2:19" ht="16.5">
      <c r="B23" s="40" t="s">
        <v>13</v>
      </c>
      <c r="C23" s="13">
        <v>178000</v>
      </c>
      <c r="D23" s="34">
        <v>55757</v>
      </c>
      <c r="E23" s="32">
        <f>+D23/0.585274</f>
        <v>95266.49056681145</v>
      </c>
      <c r="F23" s="66">
        <v>120841</v>
      </c>
      <c r="G23" s="11">
        <f t="shared" si="7"/>
        <v>26.845230973689382</v>
      </c>
      <c r="H23" s="149">
        <v>1599531.1597644866</v>
      </c>
      <c r="I23" s="150">
        <f t="shared" si="1"/>
        <v>10.326097952150889</v>
      </c>
      <c r="J23" s="159">
        <v>1721000</v>
      </c>
      <c r="K23" s="151">
        <f t="shared" si="6"/>
        <v>20.834594385191824</v>
      </c>
      <c r="L23" s="152">
        <f t="shared" si="8"/>
        <v>7.594027755820543</v>
      </c>
      <c r="M23" s="153">
        <f>685300-5000</f>
        <v>680300</v>
      </c>
      <c r="N23" s="154">
        <f t="shared" si="9"/>
        <v>-57.46878728513381</v>
      </c>
      <c r="O23" s="155">
        <f t="shared" si="4"/>
        <v>10.500459254626008</v>
      </c>
      <c r="Q23" s="22">
        <v>936164</v>
      </c>
      <c r="R23" s="22">
        <f t="shared" si="5"/>
        <v>1599531.1597644866</v>
      </c>
      <c r="S23" s="86">
        <v>936164</v>
      </c>
    </row>
    <row r="24" spans="2:19" ht="16.5">
      <c r="B24" s="40" t="s">
        <v>8</v>
      </c>
      <c r="C24" s="13">
        <f>335601-C23</f>
        <v>157601</v>
      </c>
      <c r="D24" s="34">
        <v>27557</v>
      </c>
      <c r="E24" s="32">
        <f>+D24/0.585274</f>
        <v>47083.929920003284</v>
      </c>
      <c r="F24" s="66">
        <v>32540</v>
      </c>
      <c r="G24" s="11">
        <f t="shared" si="7"/>
        <v>-30.88937126682876</v>
      </c>
      <c r="H24" s="149">
        <f>3113900-2270013</f>
        <v>843887</v>
      </c>
      <c r="I24" s="150">
        <f t="shared" si="1"/>
        <v>5.44788375603124</v>
      </c>
      <c r="J24" s="159">
        <f>3217300-J22-J23-J20</f>
        <v>806760</v>
      </c>
      <c r="K24" s="151">
        <f t="shared" si="6"/>
        <v>9.766715494594628</v>
      </c>
      <c r="L24" s="152">
        <f t="shared" si="8"/>
        <v>-4.399522684909241</v>
      </c>
      <c r="M24" s="153">
        <v>152800</v>
      </c>
      <c r="N24" s="154">
        <f t="shared" si="9"/>
        <v>-81.89331036027335</v>
      </c>
      <c r="O24" s="155">
        <f t="shared" si="4"/>
        <v>4.922341957154026</v>
      </c>
      <c r="Q24" s="22">
        <v>286019</v>
      </c>
      <c r="R24" s="22">
        <f t="shared" si="5"/>
        <v>488692.4756609725</v>
      </c>
      <c r="S24" s="86">
        <v>286019</v>
      </c>
    </row>
    <row r="25" spans="2:19" ht="16.5">
      <c r="B25" s="41"/>
      <c r="C25" s="9"/>
      <c r="D25" s="35"/>
      <c r="E25" s="32"/>
      <c r="F25" s="67"/>
      <c r="G25" s="24"/>
      <c r="H25" s="149"/>
      <c r="I25" s="150"/>
      <c r="J25" s="170"/>
      <c r="K25" s="171"/>
      <c r="L25" s="172"/>
      <c r="M25" s="158"/>
      <c r="N25" s="158"/>
      <c r="O25" s="155"/>
      <c r="S25" s="87"/>
    </row>
    <row r="26" spans="1:19" ht="16.5">
      <c r="A26" s="27" t="s">
        <v>51</v>
      </c>
      <c r="B26" s="40" t="s">
        <v>23</v>
      </c>
      <c r="C26" s="10">
        <v>150018</v>
      </c>
      <c r="D26" s="32">
        <v>19645</v>
      </c>
      <c r="E26" s="32">
        <f>+D26/0.585274</f>
        <v>33565.47531583498</v>
      </c>
      <c r="F26" s="64">
        <v>85994</v>
      </c>
      <c r="G26" s="11">
        <f>(+F26/E26)*100-100</f>
        <v>156.19777223721047</v>
      </c>
      <c r="H26" s="149">
        <v>1247800</v>
      </c>
      <c r="I26" s="150">
        <f t="shared" si="1"/>
        <v>8.055426082847326</v>
      </c>
      <c r="J26" s="159">
        <v>1338600</v>
      </c>
      <c r="K26" s="151">
        <f>+J26/1000/$K$59*100</f>
        <v>16.205222570608814</v>
      </c>
      <c r="L26" s="152">
        <f>(+J26/H26-1)*100</f>
        <v>7.276807180637923</v>
      </c>
      <c r="M26" s="153">
        <v>436800</v>
      </c>
      <c r="N26" s="154">
        <f>(M26/H26-1)*100</f>
        <v>-64.99439012662286</v>
      </c>
      <c r="O26" s="155">
        <f>+J26/1000/$J$59*100</f>
        <v>8.167295036747458</v>
      </c>
      <c r="Q26" s="22">
        <v>462739</v>
      </c>
      <c r="R26" s="22">
        <f t="shared" si="5"/>
        <v>790636.5223809703</v>
      </c>
      <c r="S26" s="84">
        <f>456165+6574</f>
        <v>462739</v>
      </c>
    </row>
    <row r="27" spans="1:19" ht="16.5">
      <c r="A27" s="22" t="s">
        <v>49</v>
      </c>
      <c r="B27" s="40" t="s">
        <v>14</v>
      </c>
      <c r="C27" s="10">
        <v>125938</v>
      </c>
      <c r="D27" s="32">
        <f>6423+19078</f>
        <v>25501</v>
      </c>
      <c r="E27" s="32">
        <f>+D27/0.585274</f>
        <v>43571.04535653387</v>
      </c>
      <c r="F27" s="64">
        <f>9304+22734</f>
        <v>32038</v>
      </c>
      <c r="G27" s="11">
        <f>(+F27/E27)*100-100</f>
        <v>-26.469517226775423</v>
      </c>
      <c r="H27" s="149">
        <v>754500</v>
      </c>
      <c r="I27" s="150">
        <f t="shared" si="1"/>
        <v>4.870827840606113</v>
      </c>
      <c r="J27" s="159">
        <v>692900</v>
      </c>
      <c r="K27" s="151">
        <f>+J27/1000/$K$59*100</f>
        <v>8.3883151943634</v>
      </c>
      <c r="L27" s="152">
        <f>(+J27/H27-1)*100</f>
        <v>-8.164347249834325</v>
      </c>
      <c r="M27" s="153">
        <v>382000</v>
      </c>
      <c r="N27" s="154">
        <f>(M27/H27-1)*100</f>
        <v>-49.37044400265076</v>
      </c>
      <c r="O27" s="155">
        <f>+J27/1000/$J$59*100</f>
        <v>4.227639870732342</v>
      </c>
      <c r="Q27" s="22">
        <v>426687</v>
      </c>
      <c r="R27" s="22">
        <f t="shared" si="5"/>
        <v>729038.0232164764</v>
      </c>
      <c r="S27" s="84">
        <f>129943+6379+273433+16932</f>
        <v>426687</v>
      </c>
    </row>
    <row r="28" spans="2:19" ht="16.5">
      <c r="B28" s="40" t="s">
        <v>15</v>
      </c>
      <c r="C28" s="10">
        <v>355</v>
      </c>
      <c r="D28" s="32">
        <v>0</v>
      </c>
      <c r="E28" s="32">
        <f>+D28/0.585274</f>
        <v>0</v>
      </c>
      <c r="F28" s="64">
        <v>0</v>
      </c>
      <c r="G28" s="11">
        <v>0</v>
      </c>
      <c r="H28" s="149">
        <v>11500</v>
      </c>
      <c r="I28" s="150">
        <f t="shared" si="1"/>
        <v>0.07424058338895997</v>
      </c>
      <c r="J28" s="159">
        <v>0</v>
      </c>
      <c r="K28" s="151">
        <f>+J28/1000/$K$59*100</f>
        <v>0</v>
      </c>
      <c r="L28" s="152">
        <f>(+J28/H28-1)*100</f>
        <v>-100</v>
      </c>
      <c r="M28" s="153" t="e">
        <f>J28/(1+L28/100)*(1+G28/100)</f>
        <v>#DIV/0!</v>
      </c>
      <c r="N28" s="154"/>
      <c r="O28" s="155">
        <f>+J28/1000/$J$59*100</f>
        <v>0</v>
      </c>
      <c r="Q28" s="22">
        <v>0</v>
      </c>
      <c r="R28" s="22">
        <f t="shared" si="5"/>
        <v>0</v>
      </c>
      <c r="S28" s="84">
        <v>0</v>
      </c>
    </row>
    <row r="29" spans="2:19" ht="16.5">
      <c r="B29" s="40" t="s">
        <v>39</v>
      </c>
      <c r="C29" s="10">
        <v>567</v>
      </c>
      <c r="D29" s="32">
        <v>742</v>
      </c>
      <c r="E29" s="32">
        <f>+D29/0.585274</f>
        <v>1267.7822695011225</v>
      </c>
      <c r="F29" s="64">
        <v>1807</v>
      </c>
      <c r="G29" s="11">
        <f>(+F29/E29)*100-100</f>
        <v>42.53236091644206</v>
      </c>
      <c r="H29" s="149">
        <v>0</v>
      </c>
      <c r="I29" s="150">
        <f t="shared" si="1"/>
        <v>0</v>
      </c>
      <c r="J29" s="147">
        <v>0</v>
      </c>
      <c r="K29" s="151">
        <f>+J29/1000/$K$59*100</f>
        <v>0</v>
      </c>
      <c r="L29" s="152"/>
      <c r="M29" s="153">
        <v>95000</v>
      </c>
      <c r="N29" s="154" t="e">
        <f>(M29/H29-1)*100</f>
        <v>#DIV/0!</v>
      </c>
      <c r="O29" s="155">
        <f>+J29/1000/$J$59*100</f>
        <v>0</v>
      </c>
      <c r="Q29" s="22">
        <v>23138</v>
      </c>
      <c r="R29" s="22">
        <f t="shared" si="5"/>
        <v>39533.62015056196</v>
      </c>
      <c r="S29" s="84">
        <v>23138</v>
      </c>
    </row>
    <row r="30" spans="2:19" ht="16.5">
      <c r="B30" s="41"/>
      <c r="C30" s="9"/>
      <c r="D30" s="35"/>
      <c r="E30" s="32"/>
      <c r="F30" s="67"/>
      <c r="G30" s="24"/>
      <c r="H30" s="149">
        <v>0</v>
      </c>
      <c r="I30" s="150"/>
      <c r="J30" s="169"/>
      <c r="K30" s="171"/>
      <c r="L30" s="172"/>
      <c r="M30" s="158"/>
      <c r="N30" s="158"/>
      <c r="O30" s="155"/>
      <c r="R30" s="22">
        <f t="shared" si="5"/>
        <v>0</v>
      </c>
      <c r="S30" s="87"/>
    </row>
    <row r="31" spans="2:19" ht="16.5">
      <c r="B31" s="40" t="s">
        <v>36</v>
      </c>
      <c r="C31" s="15">
        <f>+C33+C47</f>
        <v>1016432</v>
      </c>
      <c r="D31" s="34">
        <f>+D33+D47</f>
        <v>238735</v>
      </c>
      <c r="E31" s="34">
        <f>+E33+E47</f>
        <v>407905.08006848075</v>
      </c>
      <c r="F31" s="66">
        <f>+F33+F47</f>
        <v>491744</v>
      </c>
      <c r="G31" s="21">
        <f>(+F31/E31)*100-100</f>
        <v>20.55353660156524</v>
      </c>
      <c r="H31" s="149">
        <f>+H33+H47</f>
        <v>6798200.374990176</v>
      </c>
      <c r="I31" s="150">
        <f t="shared" si="1"/>
        <v>43.88716189863627</v>
      </c>
      <c r="J31" s="147">
        <f>+J33+J47</f>
        <v>7281899.805680758</v>
      </c>
      <c r="K31" s="151">
        <f>+J31/1000/$K$59*100</f>
        <v>88.15539151944553</v>
      </c>
      <c r="L31" s="152">
        <f>(+J31/H31-1)*100</f>
        <v>7.115109941008191</v>
      </c>
      <c r="M31" s="153">
        <f>+M33</f>
        <v>3115750</v>
      </c>
      <c r="N31" s="154">
        <f>(M31/H31-1)*100</f>
        <v>-54.16801759091277</v>
      </c>
      <c r="O31" s="155">
        <f>+J31/1000/$J$59*100</f>
        <v>44.429571299139944</v>
      </c>
      <c r="Q31" s="22">
        <v>3589269</v>
      </c>
      <c r="R31" s="22">
        <f t="shared" si="5"/>
        <v>6132630.1868868265</v>
      </c>
      <c r="S31" s="66">
        <f>+S33+S47</f>
        <v>3586879</v>
      </c>
    </row>
    <row r="32" spans="2:19" ht="16.5">
      <c r="B32" s="40"/>
      <c r="C32" s="16"/>
      <c r="D32" s="33"/>
      <c r="E32" s="32"/>
      <c r="F32" s="65"/>
      <c r="G32" s="21"/>
      <c r="H32" s="149"/>
      <c r="I32" s="150"/>
      <c r="J32" s="162"/>
      <c r="K32" s="175"/>
      <c r="L32" s="152"/>
      <c r="M32" s="158"/>
      <c r="N32" s="154"/>
      <c r="O32" s="155"/>
      <c r="R32" s="22">
        <f t="shared" si="5"/>
        <v>0</v>
      </c>
      <c r="S32" s="65"/>
    </row>
    <row r="33" spans="2:19" ht="16.5">
      <c r="B33" s="40" t="s">
        <v>37</v>
      </c>
      <c r="C33" s="13">
        <f>+C34+C44</f>
        <v>1008790</v>
      </c>
      <c r="D33" s="34">
        <f>+D34+D44</f>
        <v>238735</v>
      </c>
      <c r="E33" s="34">
        <f>+E34+E44</f>
        <v>407905.08006848075</v>
      </c>
      <c r="F33" s="66">
        <f>+F34+F44</f>
        <v>491744</v>
      </c>
      <c r="G33" s="21">
        <f aca="true" t="shared" si="10" ref="G33:G45">(+F33/E33)*100-100</f>
        <v>20.55353660156524</v>
      </c>
      <c r="H33" s="149">
        <f>+H34+H44</f>
        <v>6798200.374990176</v>
      </c>
      <c r="I33" s="150">
        <f t="shared" si="1"/>
        <v>43.88716189863627</v>
      </c>
      <c r="J33" s="147">
        <f>+J34+J44</f>
        <v>7281899.805680758</v>
      </c>
      <c r="K33" s="151">
        <f aca="true" t="shared" si="11" ref="K33:K46">+J33/1000/$K$59*100</f>
        <v>88.15539151944553</v>
      </c>
      <c r="L33" s="152">
        <f aca="true" t="shared" si="12" ref="L33:L46">(+J33/H33-1)*100</f>
        <v>7.115109941008191</v>
      </c>
      <c r="M33" s="153">
        <f>+M34+M44</f>
        <v>3115750</v>
      </c>
      <c r="N33" s="154">
        <f aca="true" t="shared" si="13" ref="N33:N45">(M33/H33-1)*100</f>
        <v>-54.16801759091277</v>
      </c>
      <c r="O33" s="155">
        <f aca="true" t="shared" si="14" ref="O33:O47">+J33/1000/$J$59*100</f>
        <v>44.429571299139944</v>
      </c>
      <c r="Q33" s="22">
        <v>3589269</v>
      </c>
      <c r="R33" s="22">
        <f t="shared" si="5"/>
        <v>6132630.1868868265</v>
      </c>
      <c r="S33" s="66">
        <f>+S34+S44</f>
        <v>3586879</v>
      </c>
    </row>
    <row r="34" spans="2:19" ht="16.5">
      <c r="B34" s="40" t="s">
        <v>34</v>
      </c>
      <c r="C34" s="13">
        <f>SUM(C35:C43)</f>
        <v>937943</v>
      </c>
      <c r="D34" s="34">
        <f>SUM(D35:D43)</f>
        <v>234674</v>
      </c>
      <c r="E34" s="34">
        <f>SUM(E35:E43)</f>
        <v>403052.08006848075</v>
      </c>
      <c r="F34" s="66">
        <f>SUM(F35:F43)</f>
        <v>488360</v>
      </c>
      <c r="G34" s="21">
        <f t="shared" si="10"/>
        <v>21.16548311003008</v>
      </c>
      <c r="H34" s="149">
        <f>SUM(H35:H43)</f>
        <v>6205300.374990176</v>
      </c>
      <c r="I34" s="150">
        <f t="shared" si="1"/>
        <v>40.059575647217635</v>
      </c>
      <c r="J34" s="147">
        <f>SUM(J35:J43)</f>
        <v>6711799.805680758</v>
      </c>
      <c r="K34" s="151">
        <f t="shared" si="11"/>
        <v>81.25370514001621</v>
      </c>
      <c r="L34" s="152">
        <f t="shared" si="12"/>
        <v>8.16236765478713</v>
      </c>
      <c r="M34" s="153">
        <f>SUM(M35:M43)</f>
        <v>2894990</v>
      </c>
      <c r="N34" s="154">
        <f t="shared" si="13"/>
        <v>-53.346496945289566</v>
      </c>
      <c r="O34" s="155">
        <f t="shared" si="14"/>
        <v>40.951179770341405</v>
      </c>
      <c r="Q34" s="22">
        <v>3383197</v>
      </c>
      <c r="R34" s="22">
        <f t="shared" si="5"/>
        <v>5780535.270659555</v>
      </c>
      <c r="S34" s="66">
        <f>SUM(S35:S43)</f>
        <v>3380807</v>
      </c>
    </row>
    <row r="35" spans="2:19" ht="16.5">
      <c r="B35" s="31" t="s">
        <v>17</v>
      </c>
      <c r="C35" s="6">
        <v>269354</v>
      </c>
      <c r="D35" s="33">
        <v>65499</v>
      </c>
      <c r="E35" s="32">
        <f>+D35/0.585274</f>
        <v>111911.68580869815</v>
      </c>
      <c r="F35" s="65">
        <v>118102</v>
      </c>
      <c r="G35" s="20">
        <f t="shared" si="10"/>
        <v>5.531427881341685</v>
      </c>
      <c r="H35" s="149">
        <v>2256200</v>
      </c>
      <c r="I35" s="150">
        <f t="shared" si="1"/>
        <v>14.565356890623606</v>
      </c>
      <c r="J35" s="162">
        <v>2434400</v>
      </c>
      <c r="K35" s="151">
        <f t="shared" si="11"/>
        <v>29.471084585305622</v>
      </c>
      <c r="L35" s="152">
        <f t="shared" si="12"/>
        <v>7.89823597198831</v>
      </c>
      <c r="M35" s="177">
        <v>820700</v>
      </c>
      <c r="N35" s="154">
        <f t="shared" si="13"/>
        <v>-63.624678663239074</v>
      </c>
      <c r="O35" s="155">
        <f t="shared" si="14"/>
        <v>14.85317722804274</v>
      </c>
      <c r="Q35" s="22">
        <v>929971</v>
      </c>
      <c r="R35" s="22">
        <f t="shared" si="5"/>
        <v>1588949.7910380438</v>
      </c>
      <c r="S35" s="66">
        <v>929971</v>
      </c>
    </row>
    <row r="36" spans="1:19" ht="16.5">
      <c r="A36" s="22" t="s">
        <v>54</v>
      </c>
      <c r="B36" s="31" t="s">
        <v>18</v>
      </c>
      <c r="C36" s="6">
        <v>76954</v>
      </c>
      <c r="D36" s="33">
        <f>19669-5665</f>
        <v>14004</v>
      </c>
      <c r="E36" s="32">
        <f>33606-190-106-946-91-1-5262-151-844</f>
        <v>26015</v>
      </c>
      <c r="F36" s="65">
        <f>25542-424-327-264-6-190-5</f>
        <v>24326</v>
      </c>
      <c r="G36" s="20">
        <f t="shared" si="10"/>
        <v>-6.492408226023443</v>
      </c>
      <c r="H36" s="149">
        <v>788500</v>
      </c>
      <c r="I36" s="150">
        <f t="shared" si="1"/>
        <v>5.090321739321299</v>
      </c>
      <c r="J36" s="178">
        <v>847600</v>
      </c>
      <c r="K36" s="151">
        <f t="shared" si="11"/>
        <v>10.261128530440784</v>
      </c>
      <c r="L36" s="152">
        <f t="shared" si="12"/>
        <v>7.495244134432477</v>
      </c>
      <c r="M36" s="177">
        <v>207290</v>
      </c>
      <c r="N36" s="154">
        <f t="shared" si="13"/>
        <v>-73.71084337349399</v>
      </c>
      <c r="O36" s="155">
        <f t="shared" si="14"/>
        <v>5.171521943184779</v>
      </c>
      <c r="Q36" s="22">
        <v>245785</v>
      </c>
      <c r="R36" s="22">
        <f t="shared" si="5"/>
        <v>419948.6052686434</v>
      </c>
      <c r="S36" s="66">
        <f>275557+173-105-2127-2853-4388-248-464-1-6603-60-9044-309-2975-768</f>
        <v>245785</v>
      </c>
    </row>
    <row r="37" spans="2:19" ht="16.5">
      <c r="B37" s="31" t="s">
        <v>19</v>
      </c>
      <c r="C37" s="6">
        <v>15523</v>
      </c>
      <c r="D37" s="33">
        <v>1435</v>
      </c>
      <c r="E37" s="32">
        <f aca="true" t="shared" si="15" ref="E37:E43">+D37/0.585274</f>
        <v>2451.8430683748124</v>
      </c>
      <c r="F37" s="65">
        <v>1139</v>
      </c>
      <c r="G37" s="20">
        <f t="shared" si="10"/>
        <v>-53.545150801393724</v>
      </c>
      <c r="H37" s="149">
        <v>65500</v>
      </c>
      <c r="I37" s="150">
        <f t="shared" si="1"/>
        <v>0.42284854017190243</v>
      </c>
      <c r="J37" s="178">
        <v>70000</v>
      </c>
      <c r="K37" s="151">
        <f t="shared" si="11"/>
        <v>0.8474268489037928</v>
      </c>
      <c r="L37" s="152">
        <f t="shared" si="12"/>
        <v>6.870229007633588</v>
      </c>
      <c r="M37" s="177">
        <v>50000</v>
      </c>
      <c r="N37" s="154">
        <f t="shared" si="13"/>
        <v>-23.664122137404576</v>
      </c>
      <c r="O37" s="155">
        <f t="shared" si="14"/>
        <v>0.4270959603857179</v>
      </c>
      <c r="Q37" s="22">
        <v>88331</v>
      </c>
      <c r="R37" s="22">
        <f t="shared" si="5"/>
        <v>150922.47391819902</v>
      </c>
      <c r="S37" s="66">
        <v>88331</v>
      </c>
    </row>
    <row r="38" spans="2:19" ht="16.5">
      <c r="B38" s="31" t="s">
        <v>20</v>
      </c>
      <c r="C38" s="6">
        <v>155726</v>
      </c>
      <c r="D38" s="33">
        <v>38500</v>
      </c>
      <c r="E38" s="32">
        <f t="shared" si="15"/>
        <v>65781.15549298278</v>
      </c>
      <c r="F38" s="65">
        <v>74465</v>
      </c>
      <c r="G38" s="20">
        <f t="shared" si="10"/>
        <v>13.201112753246733</v>
      </c>
      <c r="H38" s="149">
        <v>502800</v>
      </c>
      <c r="I38" s="150">
        <f t="shared" si="1"/>
        <v>3.2459274198233983</v>
      </c>
      <c r="J38" s="162">
        <v>499100</v>
      </c>
      <c r="K38" s="151">
        <f t="shared" si="11"/>
        <v>6.042153432684043</v>
      </c>
      <c r="L38" s="152">
        <f t="shared" si="12"/>
        <v>-0.7358790771678558</v>
      </c>
      <c r="M38" s="177">
        <v>382000</v>
      </c>
      <c r="N38" s="154">
        <f t="shared" si="13"/>
        <v>-24.025457438345267</v>
      </c>
      <c r="O38" s="155">
        <f t="shared" si="14"/>
        <v>3.045194197550169</v>
      </c>
      <c r="Q38" s="22">
        <v>382986</v>
      </c>
      <c r="R38" s="22">
        <f t="shared" si="5"/>
        <v>654370.4316268961</v>
      </c>
      <c r="S38" s="66">
        <v>382986</v>
      </c>
    </row>
    <row r="39" spans="2:19" ht="16.5">
      <c r="B39" s="31" t="s">
        <v>21</v>
      </c>
      <c r="C39" s="17">
        <v>146560</v>
      </c>
      <c r="D39" s="36">
        <f>30140+1+295</f>
        <v>30436</v>
      </c>
      <c r="E39" s="32">
        <f t="shared" si="15"/>
        <v>52002.9934697253</v>
      </c>
      <c r="F39" s="59">
        <f>73408+236+467</f>
        <v>74111</v>
      </c>
      <c r="G39" s="20">
        <f t="shared" si="10"/>
        <v>42.51294984229202</v>
      </c>
      <c r="H39" s="149">
        <v>1872400</v>
      </c>
      <c r="I39" s="150">
        <f t="shared" si="1"/>
        <v>12.087658116303361</v>
      </c>
      <c r="J39" s="181">
        <v>2003500</v>
      </c>
      <c r="K39" s="151">
        <f t="shared" si="11"/>
        <v>24.2545670254107</v>
      </c>
      <c r="L39" s="152">
        <f t="shared" si="12"/>
        <v>7.001709036530657</v>
      </c>
      <c r="M39" s="177">
        <v>492460</v>
      </c>
      <c r="N39" s="154">
        <f t="shared" si="13"/>
        <v>-73.69899594103823</v>
      </c>
      <c r="O39" s="155">
        <f t="shared" si="14"/>
        <v>12.224096523325514</v>
      </c>
      <c r="Q39" s="22">
        <v>554491</v>
      </c>
      <c r="R39" s="22">
        <f t="shared" si="5"/>
        <v>947404.1218301172</v>
      </c>
      <c r="S39" s="66">
        <f>480710+46364+23601+3811+5</f>
        <v>554491</v>
      </c>
    </row>
    <row r="40" spans="1:19" ht="16.5">
      <c r="A40" s="22" t="s">
        <v>41</v>
      </c>
      <c r="B40" s="31" t="s">
        <v>24</v>
      </c>
      <c r="C40" s="17">
        <v>56713</v>
      </c>
      <c r="D40" s="36">
        <f>13+4765+10773</f>
        <v>15551</v>
      </c>
      <c r="E40" s="32">
        <f t="shared" si="15"/>
        <v>26570.461014840916</v>
      </c>
      <c r="F40" s="59">
        <f>93+6147+20454</f>
        <v>26694</v>
      </c>
      <c r="G40" s="20">
        <f t="shared" si="10"/>
        <v>0.4649485949456533</v>
      </c>
      <c r="H40" s="149">
        <f>197220/0.585274</f>
        <v>336970.3762682094</v>
      </c>
      <c r="I40" s="150">
        <f t="shared" si="1"/>
        <v>2.1753806364303667</v>
      </c>
      <c r="J40" s="182">
        <f>198200/0.585274</f>
        <v>338644.8056807581</v>
      </c>
      <c r="K40" s="151">
        <f t="shared" si="11"/>
        <v>4.0996671510811735</v>
      </c>
      <c r="L40" s="152">
        <f t="shared" si="12"/>
        <v>0.4969070074029025</v>
      </c>
      <c r="M40" s="177">
        <v>160000</v>
      </c>
      <c r="N40" s="154">
        <f t="shared" si="13"/>
        <v>-52.51808133049387</v>
      </c>
      <c r="O40" s="155">
        <f t="shared" si="14"/>
        <v>2.066197550169403</v>
      </c>
      <c r="Q40" s="22">
        <v>212332</v>
      </c>
      <c r="R40" s="22">
        <f t="shared" si="5"/>
        <v>362790.7612502862</v>
      </c>
      <c r="S40" s="66">
        <f>553+66090+145689</f>
        <v>212332</v>
      </c>
    </row>
    <row r="41" spans="1:19" ht="16.5">
      <c r="A41" s="25" t="s">
        <v>42</v>
      </c>
      <c r="B41" s="31" t="s">
        <v>25</v>
      </c>
      <c r="C41" s="17">
        <v>12501</v>
      </c>
      <c r="D41" s="36">
        <v>2433</v>
      </c>
      <c r="E41" s="32">
        <f t="shared" si="15"/>
        <v>4157.027306868236</v>
      </c>
      <c r="F41" s="59">
        <v>4137</v>
      </c>
      <c r="G41" s="20">
        <f t="shared" si="10"/>
        <v>-0.48176991368681854</v>
      </c>
      <c r="H41" s="149">
        <v>52301.99872196613</v>
      </c>
      <c r="I41" s="150">
        <f t="shared" si="1"/>
        <v>0.337646165002383</v>
      </c>
      <c r="J41" s="181">
        <v>54660</v>
      </c>
      <c r="K41" s="151">
        <f t="shared" si="11"/>
        <v>0.6617193080154473</v>
      </c>
      <c r="L41" s="152">
        <f t="shared" si="12"/>
        <v>4.508434353663704</v>
      </c>
      <c r="M41" s="177">
        <v>19720</v>
      </c>
      <c r="N41" s="154">
        <f t="shared" si="13"/>
        <v>-62.2958959851034</v>
      </c>
      <c r="O41" s="155">
        <f t="shared" si="14"/>
        <v>0.33350093135261916</v>
      </c>
      <c r="Q41" s="22">
        <v>30611</v>
      </c>
      <c r="R41" s="22">
        <f t="shared" si="5"/>
        <v>52301.99872196613</v>
      </c>
      <c r="S41" s="66">
        <v>30611</v>
      </c>
    </row>
    <row r="42" spans="1:19" ht="16.5">
      <c r="A42" s="22" t="s">
        <v>44</v>
      </c>
      <c r="B42" s="31" t="s">
        <v>26</v>
      </c>
      <c r="C42" s="7">
        <v>140242</v>
      </c>
      <c r="D42" s="36">
        <f>20993+27031+31047-D40-D41</f>
        <v>61087</v>
      </c>
      <c r="E42" s="32">
        <f t="shared" si="15"/>
        <v>104373.33624934647</v>
      </c>
      <c r="F42" s="59">
        <f>67716+82695+43501-F40-F41</f>
        <v>163081</v>
      </c>
      <c r="G42" s="20">
        <f t="shared" si="10"/>
        <v>56.247760070064004</v>
      </c>
      <c r="H42" s="149">
        <f>6798200-6467572</f>
        <v>330628</v>
      </c>
      <c r="I42" s="150">
        <f t="shared" si="1"/>
        <v>2.134436139541309</v>
      </c>
      <c r="J42" s="182">
        <f>7281900-6818005</f>
        <v>463895</v>
      </c>
      <c r="K42" s="151">
        <f t="shared" si="11"/>
        <v>5.615958258174643</v>
      </c>
      <c r="L42" s="152">
        <f t="shared" si="12"/>
        <v>40.30723350714398</v>
      </c>
      <c r="M42" s="177">
        <f>857820-M40</f>
        <v>697820</v>
      </c>
      <c r="N42" s="154">
        <f t="shared" si="13"/>
        <v>111.05895447451518</v>
      </c>
      <c r="O42" s="155">
        <f t="shared" si="14"/>
        <v>2.830395436330466</v>
      </c>
      <c r="Q42" s="22">
        <v>894899</v>
      </c>
      <c r="R42" s="22">
        <f t="shared" si="5"/>
        <v>1529025.7212860985</v>
      </c>
      <c r="S42" s="66">
        <f>280152+485181+372509-S40-S41</f>
        <v>894899</v>
      </c>
    </row>
    <row r="43" spans="1:19" ht="16.5">
      <c r="A43" s="25" t="s">
        <v>53</v>
      </c>
      <c r="B43" s="41" t="s">
        <v>27</v>
      </c>
      <c r="C43" s="7">
        <v>64370</v>
      </c>
      <c r="D43" s="36">
        <f>5665+64</f>
        <v>5729</v>
      </c>
      <c r="E43" s="32">
        <f t="shared" si="15"/>
        <v>9788.577657644113</v>
      </c>
      <c r="F43" s="59">
        <f>1742+563</f>
        <v>2305</v>
      </c>
      <c r="G43" s="20">
        <f t="shared" si="10"/>
        <v>-76.45214574969454</v>
      </c>
      <c r="H43" s="149">
        <v>0</v>
      </c>
      <c r="I43" s="150">
        <f t="shared" si="1"/>
        <v>0</v>
      </c>
      <c r="J43" s="181">
        <v>0</v>
      </c>
      <c r="K43" s="151">
        <f t="shared" si="11"/>
        <v>0</v>
      </c>
      <c r="L43" s="152" t="e">
        <f t="shared" si="12"/>
        <v>#DIV/0!</v>
      </c>
      <c r="M43" s="177">
        <v>65000</v>
      </c>
      <c r="N43" s="154" t="e">
        <f t="shared" si="13"/>
        <v>#DIV/0!</v>
      </c>
      <c r="O43" s="155">
        <f t="shared" si="14"/>
        <v>0</v>
      </c>
      <c r="Q43" s="22">
        <v>43791</v>
      </c>
      <c r="R43" s="22">
        <f t="shared" si="5"/>
        <v>74821.36571930413</v>
      </c>
      <c r="S43" s="88">
        <f>43809-2408</f>
        <v>41401</v>
      </c>
    </row>
    <row r="44" spans="2:19" ht="16.5">
      <c r="B44" s="40" t="s">
        <v>35</v>
      </c>
      <c r="C44" s="8">
        <f>+C45+C46</f>
        <v>70847</v>
      </c>
      <c r="D44" s="37">
        <f>+D45+D46</f>
        <v>4061</v>
      </c>
      <c r="E44" s="37">
        <f>+E45+E46</f>
        <v>4853</v>
      </c>
      <c r="F44" s="60">
        <f>+F45+F46</f>
        <v>3384</v>
      </c>
      <c r="G44" s="21">
        <f t="shared" si="10"/>
        <v>-30.26993612198639</v>
      </c>
      <c r="H44" s="149">
        <f>+H45+H46</f>
        <v>592900</v>
      </c>
      <c r="I44" s="150">
        <f t="shared" si="1"/>
        <v>3.8275862514186403</v>
      </c>
      <c r="J44" s="187">
        <f>+J45+J46</f>
        <v>570100</v>
      </c>
      <c r="K44" s="151">
        <f t="shared" si="11"/>
        <v>6.90168637942932</v>
      </c>
      <c r="L44" s="152">
        <f t="shared" si="12"/>
        <v>-3.8455051442064403</v>
      </c>
      <c r="M44" s="153">
        <f>+M45+M46</f>
        <v>220760</v>
      </c>
      <c r="N44" s="154">
        <f t="shared" si="13"/>
        <v>-62.76606510372744</v>
      </c>
      <c r="O44" s="155">
        <f t="shared" si="14"/>
        <v>3.4783915287985403</v>
      </c>
      <c r="Q44" s="22">
        <v>206072</v>
      </c>
      <c r="R44" s="22">
        <f t="shared" si="5"/>
        <v>352094.9162272714</v>
      </c>
      <c r="S44" s="86">
        <f>+S45+S46</f>
        <v>206072</v>
      </c>
    </row>
    <row r="45" spans="1:19" ht="16.5">
      <c r="A45" s="27" t="s">
        <v>56</v>
      </c>
      <c r="B45" s="31" t="s">
        <v>28</v>
      </c>
      <c r="C45" s="7">
        <v>53202</v>
      </c>
      <c r="D45" s="36">
        <v>4061</v>
      </c>
      <c r="E45" s="32">
        <f>6939-509-106-860-553-58</f>
        <v>4853</v>
      </c>
      <c r="F45" s="59">
        <f>3909-10-4-165-331-15</f>
        <v>3384</v>
      </c>
      <c r="G45" s="20">
        <f t="shared" si="10"/>
        <v>-30.26993612198639</v>
      </c>
      <c r="H45" s="149">
        <v>476600</v>
      </c>
      <c r="I45" s="150">
        <f t="shared" si="1"/>
        <v>3.076788003754637</v>
      </c>
      <c r="J45" s="181">
        <v>505200</v>
      </c>
      <c r="K45" s="151">
        <f t="shared" si="11"/>
        <v>6.116000629517089</v>
      </c>
      <c r="L45" s="152">
        <f t="shared" si="12"/>
        <v>6.0008392782207265</v>
      </c>
      <c r="M45" s="177">
        <v>220760</v>
      </c>
      <c r="N45" s="154">
        <f t="shared" si="13"/>
        <v>-53.6802349979018</v>
      </c>
      <c r="O45" s="155">
        <f t="shared" si="14"/>
        <v>3.0824125598123526</v>
      </c>
      <c r="Q45" s="22">
        <v>206072</v>
      </c>
      <c r="R45" s="22">
        <f t="shared" si="5"/>
        <v>352094.9162272714</v>
      </c>
      <c r="S45" s="86">
        <f>219934-165-1554-17-229-156-813-1141-4354-5082-351</f>
        <v>206072</v>
      </c>
    </row>
    <row r="46" spans="2:19" ht="16.5">
      <c r="B46" s="31" t="s">
        <v>29</v>
      </c>
      <c r="C46" s="7">
        <f>11749+5896</f>
        <v>17645</v>
      </c>
      <c r="D46" s="36">
        <v>0</v>
      </c>
      <c r="E46" s="32">
        <f>+D46/0.585274</f>
        <v>0</v>
      </c>
      <c r="F46" s="59">
        <v>0</v>
      </c>
      <c r="G46" s="20">
        <v>0</v>
      </c>
      <c r="H46" s="149">
        <v>116300</v>
      </c>
      <c r="I46" s="150">
        <f t="shared" si="1"/>
        <v>0.7507982476640039</v>
      </c>
      <c r="J46" s="181">
        <v>64900</v>
      </c>
      <c r="K46" s="151">
        <f t="shared" si="11"/>
        <v>0.785685749912231</v>
      </c>
      <c r="L46" s="152">
        <f t="shared" si="12"/>
        <v>-44.196044711951856</v>
      </c>
      <c r="M46" s="177">
        <v>0</v>
      </c>
      <c r="N46" s="189">
        <v>0</v>
      </c>
      <c r="O46" s="155">
        <f t="shared" si="14"/>
        <v>0.39597896898618706</v>
      </c>
      <c r="Q46" s="22">
        <v>0</v>
      </c>
      <c r="R46" s="22">
        <f t="shared" si="5"/>
        <v>0</v>
      </c>
      <c r="S46" s="66">
        <v>0</v>
      </c>
    </row>
    <row r="47" spans="2:19" ht="16.5">
      <c r="B47" s="40" t="s">
        <v>30</v>
      </c>
      <c r="C47" s="8">
        <v>7642</v>
      </c>
      <c r="D47" s="37">
        <v>0</v>
      </c>
      <c r="E47" s="32">
        <f>+D47/0.585274</f>
        <v>0</v>
      </c>
      <c r="F47" s="60">
        <v>0</v>
      </c>
      <c r="G47" s="20">
        <v>0</v>
      </c>
      <c r="H47" s="149">
        <v>0</v>
      </c>
      <c r="I47" s="150">
        <f t="shared" si="1"/>
        <v>0</v>
      </c>
      <c r="J47" s="187">
        <v>0</v>
      </c>
      <c r="K47" s="175"/>
      <c r="L47" s="188"/>
      <c r="M47" s="158"/>
      <c r="N47" s="158"/>
      <c r="O47" s="155">
        <f t="shared" si="14"/>
        <v>0</v>
      </c>
      <c r="Q47" s="22">
        <v>0</v>
      </c>
      <c r="R47" s="22">
        <f t="shared" si="5"/>
        <v>0</v>
      </c>
      <c r="S47" s="66">
        <v>0</v>
      </c>
    </row>
    <row r="48" spans="2:19" ht="16.5">
      <c r="B48" s="41"/>
      <c r="C48" s="7"/>
      <c r="D48" s="35"/>
      <c r="E48" s="32"/>
      <c r="F48" s="67"/>
      <c r="G48" s="24"/>
      <c r="H48" s="149"/>
      <c r="I48" s="150"/>
      <c r="J48" s="169"/>
      <c r="K48" s="190"/>
      <c r="L48" s="172"/>
      <c r="M48" s="158"/>
      <c r="N48" s="158"/>
      <c r="O48" s="155"/>
      <c r="R48" s="22">
        <f t="shared" si="5"/>
        <v>0</v>
      </c>
      <c r="S48" s="66"/>
    </row>
    <row r="49" spans="2:19" ht="16.5">
      <c r="B49" s="40" t="s">
        <v>31</v>
      </c>
      <c r="C49" s="8">
        <f>+C13+C29-C34</f>
        <v>-22531</v>
      </c>
      <c r="D49" s="37">
        <f>+D13+D29-D34</f>
        <v>32527</v>
      </c>
      <c r="E49" s="37">
        <f>+E13+E29-E34</f>
        <v>53487.93366867484</v>
      </c>
      <c r="F49" s="60">
        <f>+F13+F29-F34</f>
        <v>79583</v>
      </c>
      <c r="G49" s="20"/>
      <c r="H49" s="149">
        <f>+H13+H29-H34</f>
        <v>1086899.4058270138</v>
      </c>
      <c r="I49" s="150">
        <f t="shared" si="1"/>
        <v>7.016699649887954</v>
      </c>
      <c r="J49" s="187">
        <f>+J13+J29-J34</f>
        <v>732600.1943192417</v>
      </c>
      <c r="K49" s="151">
        <f>+J49/1000/$K$59*100</f>
        <v>8.86892963111802</v>
      </c>
      <c r="L49" s="152">
        <f>(+J49/H49-1)*100</f>
        <v>-32.59724033414007</v>
      </c>
      <c r="M49" s="153">
        <f>+M13+M29-M34</f>
        <v>24210</v>
      </c>
      <c r="N49" s="158"/>
      <c r="O49" s="155">
        <f>+J49/1000/$J$59*100</f>
        <v>4.46986547959343</v>
      </c>
      <c r="Q49" s="22">
        <v>438243</v>
      </c>
      <c r="R49" s="22">
        <f t="shared" si="5"/>
        <v>748782.6214730195</v>
      </c>
      <c r="S49" s="66">
        <f>+S13+S29-S34</f>
        <v>440633</v>
      </c>
    </row>
    <row r="50" spans="2:19" ht="16.5">
      <c r="B50" s="40"/>
      <c r="C50" s="14"/>
      <c r="D50" s="38"/>
      <c r="E50" s="32"/>
      <c r="F50" s="68"/>
      <c r="G50" s="24"/>
      <c r="H50" s="149"/>
      <c r="I50" s="150"/>
      <c r="J50" s="193"/>
      <c r="K50" s="194"/>
      <c r="L50" s="172"/>
      <c r="M50" s="195"/>
      <c r="N50" s="158"/>
      <c r="O50" s="155"/>
      <c r="R50" s="22">
        <f t="shared" si="5"/>
        <v>0</v>
      </c>
      <c r="S50" s="68"/>
    </row>
    <row r="51" spans="2:19" ht="16.5">
      <c r="B51" s="40" t="s">
        <v>32</v>
      </c>
      <c r="C51" s="8">
        <f>+C10-C31</f>
        <v>-100665</v>
      </c>
      <c r="D51" s="37">
        <f>+D10-D31</f>
        <v>28466</v>
      </c>
      <c r="E51" s="37">
        <f>+E10-E31</f>
        <v>48634.93366867484</v>
      </c>
      <c r="F51" s="60">
        <f>+F10-F31</f>
        <v>76199</v>
      </c>
      <c r="G51" s="24"/>
      <c r="H51" s="149">
        <f>+H10-H31</f>
        <v>505499.4058270138</v>
      </c>
      <c r="I51" s="150">
        <f t="shared" si="1"/>
        <v>3.2633539818582724</v>
      </c>
      <c r="J51" s="187">
        <f>+J10-J31</f>
        <v>162500.19431924168</v>
      </c>
      <c r="K51" s="151">
        <f>+J51/1000/$K$59*100</f>
        <v>1.9672432516887</v>
      </c>
      <c r="L51" s="172"/>
      <c r="M51" s="153" t="e">
        <f>+M10-M31</f>
        <v>#DIV/0!</v>
      </c>
      <c r="N51" s="158"/>
      <c r="O51" s="155">
        <f>+J51/1000/$J$59*100</f>
        <v>0.9914739507948901</v>
      </c>
      <c r="Q51" s="22">
        <v>232171</v>
      </c>
      <c r="R51" s="22">
        <f t="shared" si="5"/>
        <v>396687.70524574816</v>
      </c>
      <c r="S51" s="66">
        <f>+S10-S31</f>
        <v>234561</v>
      </c>
    </row>
    <row r="52" spans="2:19" ht="16.5">
      <c r="B52" s="40" t="s">
        <v>22</v>
      </c>
      <c r="C52" s="26">
        <f>+C51/1000/C59*100</f>
        <v>-1.6339068333062816</v>
      </c>
      <c r="D52" s="62">
        <f>+D51/1000/D59*100</f>
        <v>0.3187896163236052</v>
      </c>
      <c r="E52" s="62">
        <f>+E51/1000/E59*100</f>
        <v>0.3139722771085902</v>
      </c>
      <c r="F52" s="69">
        <f>+F51/1000/F59*100</f>
        <v>0.4649183583633046</v>
      </c>
      <c r="G52" s="26"/>
      <c r="H52" s="199">
        <f>+H51/1000/H59*100</f>
        <v>3.2633539818582724</v>
      </c>
      <c r="I52" s="200"/>
      <c r="J52" s="198">
        <f>+J51/1000/J59*100</f>
        <v>0.9914739507948901</v>
      </c>
      <c r="K52" s="151"/>
      <c r="L52" s="172"/>
      <c r="M52" s="154" t="e">
        <f>+M51/1000/N59*100</f>
        <v>#DIV/0!</v>
      </c>
      <c r="N52" s="158"/>
      <c r="O52" s="143"/>
      <c r="Q52" s="22">
        <v>2.560897860136775</v>
      </c>
      <c r="R52" s="22">
        <f>+Q52</f>
        <v>2.560897860136775</v>
      </c>
      <c r="S52" s="69">
        <f>+S51/1000/S59*100</f>
        <v>2.6171672766223333</v>
      </c>
    </row>
    <row r="53" spans="2:19" ht="16.5">
      <c r="B53" s="40"/>
      <c r="C53" s="14"/>
      <c r="D53" s="39"/>
      <c r="E53" s="32"/>
      <c r="F53" s="70"/>
      <c r="G53" s="24"/>
      <c r="H53" s="149"/>
      <c r="I53" s="203"/>
      <c r="J53" s="202"/>
      <c r="K53" s="190"/>
      <c r="L53" s="172"/>
      <c r="M53" s="157"/>
      <c r="N53" s="158"/>
      <c r="O53" s="143"/>
      <c r="R53" s="22">
        <f t="shared" si="5"/>
        <v>0</v>
      </c>
      <c r="S53" s="70"/>
    </row>
    <row r="54" spans="2:19" ht="16.5">
      <c r="B54" s="40" t="s">
        <v>33</v>
      </c>
      <c r="C54" s="19">
        <f>+C51+C38</f>
        <v>55061</v>
      </c>
      <c r="D54" s="38">
        <f>+D51+D38</f>
        <v>66966</v>
      </c>
      <c r="E54" s="38">
        <f>+E51+E38</f>
        <v>114416.08916165763</v>
      </c>
      <c r="F54" s="68">
        <f>+F51+F38</f>
        <v>150664</v>
      </c>
      <c r="G54" s="24"/>
      <c r="H54" s="149">
        <v>1051058.1368726443</v>
      </c>
      <c r="I54" s="205"/>
      <c r="J54" s="193">
        <f>+J51+J38</f>
        <v>661600.1943192417</v>
      </c>
      <c r="K54" s="206"/>
      <c r="L54" s="172"/>
      <c r="M54" s="195" t="e">
        <f>+M51+M38</f>
        <v>#DIV/0!</v>
      </c>
      <c r="N54" s="158"/>
      <c r="O54" s="143"/>
      <c r="Q54" s="22">
        <v>615157</v>
      </c>
      <c r="R54" s="22">
        <f t="shared" si="5"/>
        <v>1051058.1368726443</v>
      </c>
      <c r="S54" s="68">
        <f>+S51+S38</f>
        <v>617547</v>
      </c>
    </row>
    <row r="55" spans="2:19" ht="17.25" thickBot="1">
      <c r="B55" s="42"/>
      <c r="C55" s="28"/>
      <c r="D55" s="54"/>
      <c r="E55" s="54"/>
      <c r="F55" s="61"/>
      <c r="G55" s="28"/>
      <c r="H55" s="210"/>
      <c r="I55" s="211"/>
      <c r="J55" s="212"/>
      <c r="K55" s="213"/>
      <c r="L55" s="214"/>
      <c r="M55" s="215"/>
      <c r="N55" s="215"/>
      <c r="O55" s="216"/>
      <c r="S55" s="61"/>
    </row>
    <row r="56" spans="2:12" ht="13.5" thickTop="1">
      <c r="B56" s="29"/>
      <c r="C56" s="30"/>
      <c r="D56" s="4"/>
      <c r="E56" s="4"/>
      <c r="F56" s="4"/>
      <c r="G56" s="29"/>
      <c r="H56" s="29"/>
      <c r="I56" s="79"/>
      <c r="J56" s="29"/>
      <c r="K56" s="29"/>
      <c r="L56" s="79"/>
    </row>
    <row r="57" spans="2:6" ht="12.75">
      <c r="B57" s="2" t="s">
        <v>40</v>
      </c>
      <c r="D57" s="75"/>
      <c r="E57" s="75"/>
      <c r="F57"/>
    </row>
    <row r="58" spans="2:6" ht="12.75">
      <c r="B58" s="1"/>
      <c r="D58" s="75"/>
      <c r="E58" s="75"/>
      <c r="F58"/>
    </row>
    <row r="59" spans="2:19" ht="12.75">
      <c r="B59" s="1"/>
      <c r="C59" s="22">
        <v>6161</v>
      </c>
      <c r="D59" s="73">
        <v>8929.4</v>
      </c>
      <c r="E59" s="73">
        <v>15490.2</v>
      </c>
      <c r="F59" s="73">
        <f>9592.5/0.585274</f>
        <v>16389.75932640097</v>
      </c>
      <c r="G59" s="73">
        <v>15490.18</v>
      </c>
      <c r="H59" s="73">
        <v>15490.18</v>
      </c>
      <c r="I59" s="82"/>
      <c r="J59" s="73">
        <f>9592.5/0.585274</f>
        <v>16389.75932640097</v>
      </c>
      <c r="K59" s="73">
        <v>8260.3</v>
      </c>
      <c r="L59" s="73">
        <f>9592.5/0.585274</f>
        <v>16389.75932640097</v>
      </c>
      <c r="M59" s="80"/>
      <c r="N59" s="80"/>
      <c r="O59" s="73">
        <f>9592.5/0.585274</f>
        <v>16389.75932640097</v>
      </c>
      <c r="S59" s="73">
        <v>8962.4</v>
      </c>
    </row>
    <row r="60" spans="2:6" ht="12.75">
      <c r="B60" s="1"/>
      <c r="D60"/>
      <c r="E60"/>
      <c r="F60"/>
    </row>
    <row r="61" ht="12.75">
      <c r="B61" s="2"/>
    </row>
    <row r="63" ht="18" customHeight="1">
      <c r="B63" s="23"/>
    </row>
    <row r="64" ht="18" customHeight="1"/>
    <row r="65" ht="18" customHeight="1"/>
    <row r="66" ht="18" customHeight="1"/>
    <row r="67" ht="18" customHeight="1"/>
  </sheetData>
  <mergeCells count="1">
    <mergeCell ref="J4:O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3"/>
  <sheetViews>
    <sheetView zoomScale="75" zoomScaleNormal="75" workbookViewId="0" topLeftCell="A1">
      <pane xSplit="3" ySplit="8" topLeftCell="D3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6" sqref="E6"/>
    </sheetView>
  </sheetViews>
  <sheetFormatPr defaultColWidth="9.140625" defaultRowHeight="12.75"/>
  <cols>
    <col min="1" max="1" width="8.8515625" style="22" customWidth="1"/>
    <col min="2" max="2" width="35.140625" style="22" customWidth="1"/>
    <col min="3" max="3" width="0.9921875" style="22" customWidth="1"/>
    <col min="4" max="5" width="10.421875" style="22" bestFit="1" customWidth="1"/>
    <col min="6" max="6" width="10.00390625" style="22" bestFit="1" customWidth="1"/>
    <col min="7" max="7" width="12.7109375" style="22" bestFit="1" customWidth="1"/>
    <col min="8" max="8" width="12.140625" style="43" customWidth="1"/>
    <col min="9" max="9" width="12.421875" style="22" customWidth="1"/>
    <col min="10" max="10" width="9.140625" style="22" hidden="1" customWidth="1"/>
    <col min="11" max="11" width="12.00390625" style="43" customWidth="1"/>
    <col min="12" max="12" width="14.7109375" style="43" hidden="1" customWidth="1"/>
    <col min="13" max="13" width="9.421875" style="43" hidden="1" customWidth="1"/>
    <col min="14" max="14" width="12.140625" style="77" customWidth="1"/>
    <col min="15" max="15" width="8.8515625" style="22" customWidth="1"/>
    <col min="16" max="16" width="11.57421875" style="22" bestFit="1" customWidth="1"/>
    <col min="17" max="17" width="8.8515625" style="22" customWidth="1"/>
    <col min="18" max="18" width="16.57421875" style="22" customWidth="1"/>
    <col min="19" max="16384" width="8.8515625" style="22" customWidth="1"/>
  </cols>
  <sheetData>
    <row r="1" ht="12.75">
      <c r="B1" s="5" t="s">
        <v>0</v>
      </c>
    </row>
    <row r="2" ht="12.75">
      <c r="B2" s="55" t="s">
        <v>38</v>
      </c>
    </row>
    <row r="3" spans="2:11" ht="13.5" thickBot="1">
      <c r="B3" s="3"/>
      <c r="C3" s="18"/>
      <c r="D3" s="1"/>
      <c r="E3" s="1"/>
      <c r="F3" s="1"/>
      <c r="G3" s="1"/>
      <c r="H3" s="78"/>
      <c r="I3" s="1"/>
      <c r="J3" s="1"/>
      <c r="K3" s="78"/>
    </row>
    <row r="4" spans="2:14" ht="15" thickBot="1">
      <c r="B4" s="44"/>
      <c r="C4" s="45"/>
      <c r="D4" s="44"/>
      <c r="E4" s="71"/>
      <c r="F4" s="46"/>
      <c r="G4" s="105"/>
      <c r="H4" s="106"/>
      <c r="I4" s="360" t="s">
        <v>66</v>
      </c>
      <c r="J4" s="361"/>
      <c r="K4" s="361"/>
      <c r="L4" s="361"/>
      <c r="M4" s="361"/>
      <c r="N4" s="362"/>
    </row>
    <row r="5" spans="2:14" ht="16.5">
      <c r="B5" s="47"/>
      <c r="C5" s="48"/>
      <c r="D5" s="56" t="s">
        <v>67</v>
      </c>
      <c r="E5" s="58" t="s">
        <v>67</v>
      </c>
      <c r="F5" s="49" t="s">
        <v>16</v>
      </c>
      <c r="G5" s="112" t="s">
        <v>48</v>
      </c>
      <c r="H5" s="113">
        <v>2007</v>
      </c>
      <c r="I5" s="114">
        <v>2008</v>
      </c>
      <c r="J5" s="115" t="s">
        <v>46</v>
      </c>
      <c r="K5" s="116" t="s">
        <v>43</v>
      </c>
      <c r="L5" s="117" t="s">
        <v>45</v>
      </c>
      <c r="M5" s="115" t="s">
        <v>43</v>
      </c>
      <c r="N5" s="113">
        <v>2008</v>
      </c>
    </row>
    <row r="6" spans="2:14" ht="16.5">
      <c r="B6" s="47"/>
      <c r="C6" s="48"/>
      <c r="D6" s="56"/>
      <c r="E6" s="58"/>
      <c r="F6" s="50"/>
      <c r="G6" s="112">
        <v>2007</v>
      </c>
      <c r="H6" s="113" t="s">
        <v>57</v>
      </c>
      <c r="I6" s="114"/>
      <c r="J6" s="115" t="s">
        <v>47</v>
      </c>
      <c r="K6" s="116" t="s">
        <v>16</v>
      </c>
      <c r="L6" s="117">
        <v>2006</v>
      </c>
      <c r="M6" s="115" t="s">
        <v>16</v>
      </c>
      <c r="N6" s="113" t="s">
        <v>61</v>
      </c>
    </row>
    <row r="7" spans="2:14" ht="16.5">
      <c r="B7" s="47"/>
      <c r="C7" s="48">
        <v>2002</v>
      </c>
      <c r="D7" s="56">
        <v>2007</v>
      </c>
      <c r="E7" s="58">
        <v>2008</v>
      </c>
      <c r="F7" s="48" t="s">
        <v>59</v>
      </c>
      <c r="G7" s="119" t="s">
        <v>64</v>
      </c>
      <c r="H7" s="113" t="s">
        <v>55</v>
      </c>
      <c r="I7" s="118" t="s">
        <v>64</v>
      </c>
      <c r="J7" s="115">
        <v>2003</v>
      </c>
      <c r="K7" s="116" t="s">
        <v>60</v>
      </c>
      <c r="L7" s="117"/>
      <c r="M7" s="115" t="s">
        <v>52</v>
      </c>
      <c r="N7" s="113" t="s">
        <v>55</v>
      </c>
    </row>
    <row r="8" spans="2:14" ht="15" thickBot="1">
      <c r="B8" s="51"/>
      <c r="C8" s="52"/>
      <c r="D8" s="57"/>
      <c r="E8" s="63"/>
      <c r="F8" s="91"/>
      <c r="G8" s="125"/>
      <c r="H8" s="126"/>
      <c r="I8" s="127"/>
      <c r="J8" s="128"/>
      <c r="K8" s="129"/>
      <c r="L8" s="130"/>
      <c r="M8" s="131"/>
      <c r="N8" s="132"/>
    </row>
    <row r="9" spans="2:14" ht="16.5">
      <c r="B9" s="31"/>
      <c r="C9" s="18"/>
      <c r="D9" s="72"/>
      <c r="E9" s="76"/>
      <c r="F9" s="92"/>
      <c r="G9" s="137"/>
      <c r="H9" s="138"/>
      <c r="I9" s="139"/>
      <c r="J9" s="140"/>
      <c r="K9" s="141"/>
      <c r="L9" s="142"/>
      <c r="M9" s="142"/>
      <c r="N9" s="143"/>
    </row>
    <row r="10" spans="2:14" ht="16.5">
      <c r="B10" s="40" t="s">
        <v>1</v>
      </c>
      <c r="C10" s="10">
        <f>C12+C29</f>
        <v>915767</v>
      </c>
      <c r="D10" s="32">
        <f>D12+D29</f>
        <v>881382.0535339004</v>
      </c>
      <c r="E10" s="64">
        <f>E12+E29</f>
        <v>945311</v>
      </c>
      <c r="F10" s="11">
        <f>(+E10/D10)*100-100</f>
        <v>7.253261648541226</v>
      </c>
      <c r="G10" s="149">
        <f>G12+G29</f>
        <v>7303699.78081719</v>
      </c>
      <c r="H10" s="150">
        <f>+G10/1000/$G$59*100</f>
        <v>47.150515880494545</v>
      </c>
      <c r="I10" s="147">
        <f>I12+I29</f>
        <v>7444400</v>
      </c>
      <c r="J10" s="151" t="e">
        <f>+I10/1000/$K$59*100</f>
        <v>#DIV/0!</v>
      </c>
      <c r="K10" s="152">
        <f>(+I10/G10-1)*100</f>
        <v>1.9264239139778372</v>
      </c>
      <c r="L10" s="153" t="e">
        <f>+L12+L29</f>
        <v>#DIV/0!</v>
      </c>
      <c r="M10" s="154" t="e">
        <f>(L10/G10-1)*100</f>
        <v>#DIV/0!</v>
      </c>
      <c r="N10" s="155">
        <f>+I10/1000/$I$59*100</f>
        <v>45.421045249934835</v>
      </c>
    </row>
    <row r="11" spans="2:14" ht="16.5">
      <c r="B11" s="40"/>
      <c r="C11" s="10"/>
      <c r="D11" s="32"/>
      <c r="E11" s="64"/>
      <c r="F11" s="11"/>
      <c r="G11" s="149"/>
      <c r="H11" s="150"/>
      <c r="I11" s="147"/>
      <c r="J11" s="156"/>
      <c r="K11" s="152"/>
      <c r="L11" s="157"/>
      <c r="M11" s="158"/>
      <c r="N11" s="155"/>
    </row>
    <row r="12" spans="2:14" ht="16.5">
      <c r="B12" s="40" t="s">
        <v>2</v>
      </c>
      <c r="C12" s="10">
        <f>C13+C28</f>
        <v>915200</v>
      </c>
      <c r="D12" s="32">
        <f>D13+D28</f>
        <v>878354.4117797818</v>
      </c>
      <c r="E12" s="64">
        <f>E13+E28</f>
        <v>940950</v>
      </c>
      <c r="F12" s="11">
        <f aca="true" t="shared" si="0" ref="F12:F17">(+E12/D12)*100-100</f>
        <v>7.126461412470491</v>
      </c>
      <c r="G12" s="149">
        <f>G13+G28</f>
        <v>7303699.78081719</v>
      </c>
      <c r="H12" s="150">
        <f aca="true" t="shared" si="1" ref="H12:H51">+G12/1000/$G$59*100</f>
        <v>47.150515880494545</v>
      </c>
      <c r="I12" s="147">
        <f>I13+I28</f>
        <v>7444400</v>
      </c>
      <c r="J12" s="151" t="e">
        <f>+I12/1000/$K$59*100</f>
        <v>#DIV/0!</v>
      </c>
      <c r="K12" s="152">
        <f aca="true" t="shared" si="2" ref="K12:K17">(+I12/G12-1)*100</f>
        <v>1.9264239139778372</v>
      </c>
      <c r="L12" s="153" t="e">
        <f>+L13+L28</f>
        <v>#DIV/0!</v>
      </c>
      <c r="M12" s="154" t="e">
        <f aca="true" t="shared" si="3" ref="M12:M17">(L12/G12-1)*100</f>
        <v>#DIV/0!</v>
      </c>
      <c r="N12" s="155">
        <f aca="true" t="shared" si="4" ref="N12:N24">+I12/1000/$I$59*100</f>
        <v>45.421045249934835</v>
      </c>
    </row>
    <row r="13" spans="2:14" ht="16.5">
      <c r="B13" s="40" t="s">
        <v>3</v>
      </c>
      <c r="C13" s="10">
        <f>C14+C27</f>
        <v>914845</v>
      </c>
      <c r="D13" s="32">
        <f>D14+D27</f>
        <v>878354.4117797818</v>
      </c>
      <c r="E13" s="64">
        <f>E14+E27</f>
        <v>940950</v>
      </c>
      <c r="F13" s="11">
        <f t="shared" si="0"/>
        <v>7.126461412470491</v>
      </c>
      <c r="G13" s="149">
        <f>G14+G27</f>
        <v>7292199.78081719</v>
      </c>
      <c r="H13" s="150">
        <f t="shared" si="1"/>
        <v>47.07627529710558</v>
      </c>
      <c r="I13" s="147">
        <f>I14+I27</f>
        <v>7444400</v>
      </c>
      <c r="J13" s="151" t="e">
        <f aca="true" t="shared" si="5" ref="J13:J24">+I13/1000/$K$59*100</f>
        <v>#DIV/0!</v>
      </c>
      <c r="K13" s="152">
        <f t="shared" si="2"/>
        <v>2.0871646931998056</v>
      </c>
      <c r="L13" s="153">
        <f>+L14+L27</f>
        <v>2824200</v>
      </c>
      <c r="M13" s="154">
        <f t="shared" si="3"/>
        <v>-61.27094587521695</v>
      </c>
      <c r="N13" s="155">
        <f t="shared" si="4"/>
        <v>45.421045249934835</v>
      </c>
    </row>
    <row r="14" spans="2:16" ht="16.5">
      <c r="B14" s="40" t="s">
        <v>4</v>
      </c>
      <c r="C14" s="10">
        <f>C15+C19+C26</f>
        <v>788907</v>
      </c>
      <c r="D14" s="32">
        <f>D15+D19+D26</f>
        <v>801305.0297809232</v>
      </c>
      <c r="E14" s="64">
        <f>E15+E19+E26</f>
        <v>863518</v>
      </c>
      <c r="F14" s="11">
        <f t="shared" si="0"/>
        <v>7.763956035080156</v>
      </c>
      <c r="G14" s="149">
        <f>G15+G19+G26</f>
        <v>6537699.78081719</v>
      </c>
      <c r="H14" s="150">
        <f t="shared" si="1"/>
        <v>42.20544745649947</v>
      </c>
      <c r="I14" s="147">
        <f>I15+I19+I26</f>
        <v>6751500</v>
      </c>
      <c r="J14" s="151" t="e">
        <f t="shared" si="5"/>
        <v>#DIV/0!</v>
      </c>
      <c r="K14" s="152">
        <f t="shared" si="2"/>
        <v>3.270266704661773</v>
      </c>
      <c r="L14" s="153">
        <f>+L15+L19+L26</f>
        <v>2442200</v>
      </c>
      <c r="M14" s="154">
        <f t="shared" si="3"/>
        <v>-62.64435379602682</v>
      </c>
      <c r="N14" s="155">
        <f t="shared" si="4"/>
        <v>41.193405379202495</v>
      </c>
      <c r="P14" s="90"/>
    </row>
    <row r="15" spans="2:14" ht="16.5">
      <c r="B15" s="40" t="s">
        <v>5</v>
      </c>
      <c r="C15" s="10">
        <f>C16+C17</f>
        <v>267215</v>
      </c>
      <c r="D15" s="32">
        <f>D16+D17</f>
        <v>289150.039126973</v>
      </c>
      <c r="E15" s="64">
        <f>E16+E17</f>
        <v>336261</v>
      </c>
      <c r="F15" s="11">
        <f t="shared" si="0"/>
        <v>16.292911809823195</v>
      </c>
      <c r="G15" s="149">
        <f>G16+G17</f>
        <v>2176000</v>
      </c>
      <c r="H15" s="150">
        <f t="shared" si="1"/>
        <v>14.047609517771903</v>
      </c>
      <c r="I15" s="147">
        <f>I16+I17</f>
        <v>2195600</v>
      </c>
      <c r="J15" s="151" t="e">
        <f t="shared" si="5"/>
        <v>#DIV/0!</v>
      </c>
      <c r="K15" s="152">
        <f t="shared" si="2"/>
        <v>0.9007352941176494</v>
      </c>
      <c r="L15" s="153">
        <f>+L16+L17</f>
        <v>798200</v>
      </c>
      <c r="M15" s="154">
        <f t="shared" si="3"/>
        <v>-63.318014705882355</v>
      </c>
      <c r="N15" s="155">
        <f t="shared" si="4"/>
        <v>13.396169866041173</v>
      </c>
    </row>
    <row r="16" spans="2:14" ht="16.5">
      <c r="B16" s="40" t="s">
        <v>6</v>
      </c>
      <c r="C16" s="10">
        <v>191033</v>
      </c>
      <c r="D16" s="32">
        <f>(96470+2592)/0.585274</f>
        <v>169257.47598560675</v>
      </c>
      <c r="E16" s="64">
        <f>188462-3056</f>
        <v>185406</v>
      </c>
      <c r="F16" s="11">
        <f t="shared" si="0"/>
        <v>9.54080398538288</v>
      </c>
      <c r="G16" s="149">
        <v>1680040</v>
      </c>
      <c r="H16" s="150">
        <f t="shared" si="1"/>
        <v>10.845839105807679</v>
      </c>
      <c r="I16" s="147">
        <v>1669660</v>
      </c>
      <c r="J16" s="151" t="e">
        <f t="shared" si="5"/>
        <v>#DIV/0!</v>
      </c>
      <c r="K16" s="152">
        <f t="shared" si="2"/>
        <v>-0.6178424323230347</v>
      </c>
      <c r="L16" s="153">
        <f>-5000+502900</f>
        <v>497900</v>
      </c>
      <c r="M16" s="154">
        <f t="shared" si="3"/>
        <v>-70.36380086188424</v>
      </c>
      <c r="N16" s="155">
        <f t="shared" si="4"/>
        <v>10.187214874537398</v>
      </c>
    </row>
    <row r="17" spans="2:14" ht="16.5">
      <c r="B17" s="40" t="s">
        <v>7</v>
      </c>
      <c r="C17" s="10">
        <v>76182</v>
      </c>
      <c r="D17" s="32">
        <f>(6269+4901+59000)/0.585274</f>
        <v>119892.56314136628</v>
      </c>
      <c r="E17" s="64">
        <f>13383+8197+129275</f>
        <v>150855</v>
      </c>
      <c r="F17" s="11">
        <f t="shared" si="0"/>
        <v>25.825152159042304</v>
      </c>
      <c r="G17" s="149">
        <f>2176000-1680040</f>
        <v>495960</v>
      </c>
      <c r="H17" s="150">
        <f t="shared" si="1"/>
        <v>3.2017704119642247</v>
      </c>
      <c r="I17" s="159">
        <v>525940</v>
      </c>
      <c r="J17" s="151" t="e">
        <f t="shared" si="5"/>
        <v>#DIV/0!</v>
      </c>
      <c r="K17" s="152">
        <f t="shared" si="2"/>
        <v>6.0448423259940265</v>
      </c>
      <c r="L17" s="153">
        <f>308300-8000</f>
        <v>300300</v>
      </c>
      <c r="M17" s="154">
        <f t="shared" si="3"/>
        <v>-39.450762158238575</v>
      </c>
      <c r="N17" s="155">
        <f t="shared" si="4"/>
        <v>3.208954991503779</v>
      </c>
    </row>
    <row r="18" spans="2:14" ht="16.5">
      <c r="B18" s="31"/>
      <c r="C18" s="6"/>
      <c r="D18" s="33"/>
      <c r="E18" s="65"/>
      <c r="F18" s="12"/>
      <c r="G18" s="149"/>
      <c r="H18" s="150"/>
      <c r="I18" s="147"/>
      <c r="J18" s="164"/>
      <c r="K18" s="165"/>
      <c r="L18" s="158"/>
      <c r="M18" s="158"/>
      <c r="N18" s="155">
        <f t="shared" si="4"/>
        <v>0</v>
      </c>
    </row>
    <row r="19" spans="2:14" ht="16.5">
      <c r="B19" s="40" t="s">
        <v>9</v>
      </c>
      <c r="C19" s="10">
        <f>C20+C21</f>
        <v>371674</v>
      </c>
      <c r="D19" s="32">
        <f>D20+D21</f>
        <v>371412.3641234704</v>
      </c>
      <c r="E19" s="64">
        <f>E20+E21</f>
        <v>416696</v>
      </c>
      <c r="F19" s="11">
        <f aca="true" t="shared" si="6" ref="F19:F24">(+E19/D19)*100-100</f>
        <v>12.192280131384052</v>
      </c>
      <c r="G19" s="149">
        <f>G20+G21</f>
        <v>3113899.78081719</v>
      </c>
      <c r="H19" s="150">
        <f t="shared" si="1"/>
        <v>20.10241185588024</v>
      </c>
      <c r="I19" s="147">
        <f>I20+I21</f>
        <v>3217300</v>
      </c>
      <c r="J19" s="151" t="e">
        <f t="shared" si="5"/>
        <v>#DIV/0!</v>
      </c>
      <c r="K19" s="152">
        <f aca="true" t="shared" si="7" ref="K19:K24">(+I19/G19-1)*100</f>
        <v>3.3206020251452806</v>
      </c>
      <c r="L19" s="153">
        <f>+L20+L21</f>
        <v>1207200</v>
      </c>
      <c r="M19" s="154">
        <f aca="true" t="shared" si="8" ref="M19:M24">(L19/G19-1)*100</f>
        <v>-61.23189296467368</v>
      </c>
      <c r="N19" s="155">
        <f t="shared" si="4"/>
        <v>19.62994047641386</v>
      </c>
    </row>
    <row r="20" spans="2:14" ht="16.5">
      <c r="B20" s="40" t="s">
        <v>10</v>
      </c>
      <c r="C20" s="10">
        <v>36073</v>
      </c>
      <c r="D20" s="32">
        <f>(4095+2115)/0.585274</f>
        <v>10610.414950946053</v>
      </c>
      <c r="E20" s="64">
        <f>8231+14114</f>
        <v>22345</v>
      </c>
      <c r="F20" s="11">
        <f t="shared" si="6"/>
        <v>110.5949682769726</v>
      </c>
      <c r="G20" s="149">
        <v>50220</v>
      </c>
      <c r="H20" s="150">
        <f t="shared" si="1"/>
        <v>0.3242053998081365</v>
      </c>
      <c r="I20" s="147">
        <v>53840</v>
      </c>
      <c r="J20" s="151" t="e">
        <f t="shared" si="5"/>
        <v>#DIV/0!</v>
      </c>
      <c r="K20" s="152">
        <f t="shared" si="7"/>
        <v>7.2082835523695765</v>
      </c>
      <c r="L20" s="153">
        <v>26700</v>
      </c>
      <c r="M20" s="154">
        <f t="shared" si="8"/>
        <v>-46.83393070489845</v>
      </c>
      <c r="N20" s="155">
        <f t="shared" si="4"/>
        <v>0.32849780724524363</v>
      </c>
    </row>
    <row r="21" spans="2:14" ht="16.5">
      <c r="B21" s="40" t="s">
        <v>11</v>
      </c>
      <c r="C21" s="10">
        <v>335601</v>
      </c>
      <c r="D21" s="32">
        <f>SUM(D22:D24)</f>
        <v>360801.9491725243</v>
      </c>
      <c r="E21" s="64">
        <f>SUM(E22:E24)</f>
        <v>394351</v>
      </c>
      <c r="F21" s="11">
        <f t="shared" si="6"/>
        <v>9.298467179686327</v>
      </c>
      <c r="G21" s="149">
        <f>SUM(G22:G24)</f>
        <v>3063679.78081719</v>
      </c>
      <c r="H21" s="150">
        <f t="shared" si="1"/>
        <v>19.778206456072105</v>
      </c>
      <c r="I21" s="147">
        <f>SUM(I22:I24)</f>
        <v>3163460</v>
      </c>
      <c r="J21" s="151" t="e">
        <f t="shared" si="5"/>
        <v>#DIV/0!</v>
      </c>
      <c r="K21" s="152">
        <f t="shared" si="7"/>
        <v>3.2568749452070556</v>
      </c>
      <c r="L21" s="153">
        <f>+L22+L23+L24</f>
        <v>1180500</v>
      </c>
      <c r="M21" s="154">
        <f t="shared" si="8"/>
        <v>-61.467905118820234</v>
      </c>
      <c r="N21" s="155">
        <f t="shared" si="4"/>
        <v>19.30144266916862</v>
      </c>
    </row>
    <row r="22" spans="2:14" ht="16.5">
      <c r="B22" s="40" t="s">
        <v>12</v>
      </c>
      <c r="C22" s="10">
        <v>88941</v>
      </c>
      <c r="D22" s="32">
        <f>(56035+339)/0.585274</f>
        <v>96320.69765614055</v>
      </c>
      <c r="E22" s="64">
        <f>72256+33075</f>
        <v>105331</v>
      </c>
      <c r="F22" s="11">
        <f t="shared" si="6"/>
        <v>9.354482020080184</v>
      </c>
      <c r="G22" s="149">
        <v>620261.6210527036</v>
      </c>
      <c r="H22" s="150">
        <f t="shared" si="1"/>
        <v>4.004224747889977</v>
      </c>
      <c r="I22" s="159">
        <v>635700</v>
      </c>
      <c r="J22" s="151" t="e">
        <f t="shared" si="5"/>
        <v>#DIV/0!</v>
      </c>
      <c r="K22" s="152">
        <f t="shared" si="7"/>
        <v>2.4890108340242856</v>
      </c>
      <c r="L22" s="153">
        <v>347400</v>
      </c>
      <c r="M22" s="154">
        <f t="shared" si="8"/>
        <v>-43.99137586323732</v>
      </c>
      <c r="N22" s="155">
        <f t="shared" si="4"/>
        <v>3.878641457388585</v>
      </c>
    </row>
    <row r="23" spans="2:14" ht="16.5">
      <c r="B23" s="40" t="s">
        <v>13</v>
      </c>
      <c r="C23" s="13">
        <v>178000</v>
      </c>
      <c r="D23" s="34">
        <f>118928/0.585274</f>
        <v>203200.55221998587</v>
      </c>
      <c r="E23" s="66">
        <v>226733</v>
      </c>
      <c r="F23" s="11">
        <f t="shared" si="6"/>
        <v>11.580897553141384</v>
      </c>
      <c r="G23" s="149">
        <v>1599531.1597644866</v>
      </c>
      <c r="H23" s="150">
        <f t="shared" si="1"/>
        <v>10.326097952150889</v>
      </c>
      <c r="I23" s="159">
        <v>1721000</v>
      </c>
      <c r="J23" s="151" t="e">
        <f t="shared" si="5"/>
        <v>#DIV/0!</v>
      </c>
      <c r="K23" s="152">
        <f t="shared" si="7"/>
        <v>7.594027755820543</v>
      </c>
      <c r="L23" s="153">
        <f>685300-5000</f>
        <v>680300</v>
      </c>
      <c r="M23" s="154">
        <f t="shared" si="8"/>
        <v>-57.46878728513381</v>
      </c>
      <c r="N23" s="155">
        <f t="shared" si="4"/>
        <v>10.500459254626008</v>
      </c>
    </row>
    <row r="24" spans="2:14" ht="16.5">
      <c r="B24" s="40" t="s">
        <v>8</v>
      </c>
      <c r="C24" s="13">
        <f>335601-C23</f>
        <v>157601</v>
      </c>
      <c r="D24" s="34">
        <f>35866/0.585274</f>
        <v>61280.69929639793</v>
      </c>
      <c r="E24" s="66">
        <v>62287</v>
      </c>
      <c r="F24" s="11">
        <f t="shared" si="6"/>
        <v>1.6421168739195906</v>
      </c>
      <c r="G24" s="149">
        <f>3113900-2270013</f>
        <v>843887</v>
      </c>
      <c r="H24" s="150">
        <f t="shared" si="1"/>
        <v>5.44788375603124</v>
      </c>
      <c r="I24" s="159">
        <f>3217300-I22-I23-I20</f>
        <v>806760</v>
      </c>
      <c r="J24" s="151" t="e">
        <f t="shared" si="5"/>
        <v>#DIV/0!</v>
      </c>
      <c r="K24" s="152">
        <f t="shared" si="7"/>
        <v>-4.399522684909241</v>
      </c>
      <c r="L24" s="153">
        <v>152800</v>
      </c>
      <c r="M24" s="154">
        <f t="shared" si="8"/>
        <v>-81.89331036027335</v>
      </c>
      <c r="N24" s="155">
        <f t="shared" si="4"/>
        <v>4.922341957154026</v>
      </c>
    </row>
    <row r="25" spans="2:14" ht="16.5">
      <c r="B25" s="41"/>
      <c r="C25" s="9"/>
      <c r="D25" s="35"/>
      <c r="E25" s="67"/>
      <c r="F25" s="24"/>
      <c r="G25" s="149"/>
      <c r="H25" s="150"/>
      <c r="I25" s="170"/>
      <c r="J25" s="171"/>
      <c r="K25" s="172"/>
      <c r="L25" s="158"/>
      <c r="M25" s="158"/>
      <c r="N25" s="155"/>
    </row>
    <row r="26" spans="1:14" ht="16.5">
      <c r="A26" s="27" t="s">
        <v>51</v>
      </c>
      <c r="B26" s="40" t="s">
        <v>23</v>
      </c>
      <c r="C26" s="10">
        <v>150018</v>
      </c>
      <c r="D26" s="32">
        <f>82373/0.585274</f>
        <v>140742.62653047976</v>
      </c>
      <c r="E26" s="64">
        <v>110561</v>
      </c>
      <c r="F26" s="11">
        <f>(+E26/D26)*100-100</f>
        <v>-21.444552566981912</v>
      </c>
      <c r="G26" s="149">
        <v>1247800</v>
      </c>
      <c r="H26" s="150">
        <f t="shared" si="1"/>
        <v>8.055426082847326</v>
      </c>
      <c r="I26" s="159">
        <v>1338600</v>
      </c>
      <c r="J26" s="151" t="e">
        <f>+I26/1000/$K$59*100</f>
        <v>#DIV/0!</v>
      </c>
      <c r="K26" s="152">
        <f>(+I26/G26-1)*100</f>
        <v>7.276807180637923</v>
      </c>
      <c r="L26" s="153">
        <v>436800</v>
      </c>
      <c r="M26" s="154">
        <f>(L26/G26-1)*100</f>
        <v>-64.99439012662286</v>
      </c>
      <c r="N26" s="155">
        <f>+I26/1000/$I$59*100</f>
        <v>8.167295036747458</v>
      </c>
    </row>
    <row r="27" spans="1:14" ht="16.5">
      <c r="A27" s="22" t="s">
        <v>49</v>
      </c>
      <c r="B27" s="40" t="s">
        <v>14</v>
      </c>
      <c r="C27" s="10">
        <v>125938</v>
      </c>
      <c r="D27" s="32">
        <f>(34843+10252)/0.585274</f>
        <v>77049.38199885866</v>
      </c>
      <c r="E27" s="64">
        <f>62069+15363</f>
        <v>77432</v>
      </c>
      <c r="F27" s="11">
        <f>(+E27/D27)*100-100</f>
        <v>0.4965880208448681</v>
      </c>
      <c r="G27" s="149">
        <v>754500</v>
      </c>
      <c r="H27" s="150">
        <f t="shared" si="1"/>
        <v>4.870827840606113</v>
      </c>
      <c r="I27" s="159">
        <v>692900</v>
      </c>
      <c r="J27" s="151" t="e">
        <f>+I27/1000/$K$59*100</f>
        <v>#DIV/0!</v>
      </c>
      <c r="K27" s="152">
        <f>(+I27/G27-1)*100</f>
        <v>-8.164347249834325</v>
      </c>
      <c r="L27" s="153">
        <v>382000</v>
      </c>
      <c r="M27" s="154">
        <f>(L27/G27-1)*100</f>
        <v>-49.37044400265076</v>
      </c>
      <c r="N27" s="155">
        <f>+I27/1000/$I$59*100</f>
        <v>4.227639870732342</v>
      </c>
    </row>
    <row r="28" spans="2:18" ht="16.5">
      <c r="B28" s="40" t="s">
        <v>15</v>
      </c>
      <c r="C28" s="10">
        <v>355</v>
      </c>
      <c r="D28" s="32">
        <v>0</v>
      </c>
      <c r="E28" s="64">
        <v>0</v>
      </c>
      <c r="F28" s="11">
        <v>0</v>
      </c>
      <c r="G28" s="149">
        <v>11500</v>
      </c>
      <c r="H28" s="150">
        <f t="shared" si="1"/>
        <v>0.07424058338895997</v>
      </c>
      <c r="I28" s="159">
        <v>0</v>
      </c>
      <c r="J28" s="151" t="e">
        <f>+I28/1000/$K$59*100</f>
        <v>#DIV/0!</v>
      </c>
      <c r="K28" s="152">
        <f>(+I28/G28-1)*100</f>
        <v>-100</v>
      </c>
      <c r="L28" s="153" t="e">
        <f>I28/(1+K28/100)*(1+F28/100)</f>
        <v>#DIV/0!</v>
      </c>
      <c r="M28" s="154"/>
      <c r="N28" s="155">
        <f>+I28/1000/$I$59*100</f>
        <v>0</v>
      </c>
      <c r="R28" s="90"/>
    </row>
    <row r="29" spans="2:14" ht="16.5">
      <c r="B29" s="40" t="s">
        <v>39</v>
      </c>
      <c r="C29" s="10">
        <v>567</v>
      </c>
      <c r="D29" s="32">
        <f>1772/0.585274</f>
        <v>3027.641754118584</v>
      </c>
      <c r="E29" s="64">
        <v>4361</v>
      </c>
      <c r="F29" s="11">
        <f>(+E29/D29)*100-100</f>
        <v>44.03949853273136</v>
      </c>
      <c r="G29" s="149">
        <v>0</v>
      </c>
      <c r="H29" s="150">
        <f t="shared" si="1"/>
        <v>0</v>
      </c>
      <c r="I29" s="147">
        <v>0</v>
      </c>
      <c r="J29" s="151" t="e">
        <f>+I29/1000/$K$59*100</f>
        <v>#DIV/0!</v>
      </c>
      <c r="K29" s="152"/>
      <c r="L29" s="153">
        <v>95000</v>
      </c>
      <c r="M29" s="154" t="e">
        <f>(L29/G29-1)*100</f>
        <v>#DIV/0!</v>
      </c>
      <c r="N29" s="155">
        <f>+I29/1000/$I$59*100</f>
        <v>0</v>
      </c>
    </row>
    <row r="30" spans="2:14" ht="16.5">
      <c r="B30" s="41"/>
      <c r="C30" s="9"/>
      <c r="D30" s="35"/>
      <c r="E30" s="67"/>
      <c r="F30" s="24"/>
      <c r="G30" s="149">
        <v>0</v>
      </c>
      <c r="H30" s="150"/>
      <c r="I30" s="169"/>
      <c r="J30" s="171"/>
      <c r="K30" s="172"/>
      <c r="L30" s="158"/>
      <c r="M30" s="158"/>
      <c r="N30" s="155"/>
    </row>
    <row r="31" spans="2:14" ht="16.5">
      <c r="B31" s="40" t="s">
        <v>36</v>
      </c>
      <c r="C31" s="15">
        <f>+C33+C47</f>
        <v>1016432</v>
      </c>
      <c r="D31" s="34">
        <f>+D33+D47</f>
        <v>853101.6292915797</v>
      </c>
      <c r="E31" s="66">
        <f>+E33+E47</f>
        <v>924320</v>
      </c>
      <c r="F31" s="21">
        <f>(+E31/D31)*100-100</f>
        <v>8.348169580634888</v>
      </c>
      <c r="G31" s="149">
        <f>+G33+G47</f>
        <v>6798200.374990176</v>
      </c>
      <c r="H31" s="150">
        <f t="shared" si="1"/>
        <v>43.88716189863627</v>
      </c>
      <c r="I31" s="147">
        <f>+I33+I47</f>
        <v>7281899.805680758</v>
      </c>
      <c r="J31" s="151" t="e">
        <f>+I31/1000/$K$59*100</f>
        <v>#DIV/0!</v>
      </c>
      <c r="K31" s="152">
        <f>(+I31/G31-1)*100</f>
        <v>7.115109941008191</v>
      </c>
      <c r="L31" s="153">
        <f>+L33</f>
        <v>3115750</v>
      </c>
      <c r="M31" s="154">
        <f>(L31/G31-1)*100</f>
        <v>-54.16801759091277</v>
      </c>
      <c r="N31" s="155">
        <f>+I31/1000/$I$59*100</f>
        <v>44.429571299139944</v>
      </c>
    </row>
    <row r="32" spans="2:14" ht="16.5">
      <c r="B32" s="40"/>
      <c r="C32" s="16"/>
      <c r="D32" s="33"/>
      <c r="E32" s="65"/>
      <c r="F32" s="21"/>
      <c r="G32" s="149"/>
      <c r="H32" s="150"/>
      <c r="I32" s="162"/>
      <c r="J32" s="175"/>
      <c r="K32" s="152"/>
      <c r="L32" s="158"/>
      <c r="M32" s="154"/>
      <c r="N32" s="155"/>
    </row>
    <row r="33" spans="2:14" ht="16.5">
      <c r="B33" s="40" t="s">
        <v>37</v>
      </c>
      <c r="C33" s="13">
        <f>+C34+C44</f>
        <v>1008790</v>
      </c>
      <c r="D33" s="34">
        <f>+D34+D44</f>
        <v>853101.6292915797</v>
      </c>
      <c r="E33" s="66">
        <f>+E34+E44</f>
        <v>924320</v>
      </c>
      <c r="F33" s="21">
        <f aca="true" t="shared" si="9" ref="F33:F45">(+E33/D33)*100-100</f>
        <v>8.348169580634888</v>
      </c>
      <c r="G33" s="149">
        <f>+G34+G44</f>
        <v>6798200.374990176</v>
      </c>
      <c r="H33" s="150">
        <f t="shared" si="1"/>
        <v>43.88716189863627</v>
      </c>
      <c r="I33" s="147">
        <f>+I34+I44</f>
        <v>7281899.805680758</v>
      </c>
      <c r="J33" s="151" t="e">
        <f aca="true" t="shared" si="10" ref="J33:J46">+I33/1000/$K$59*100</f>
        <v>#DIV/0!</v>
      </c>
      <c r="K33" s="152">
        <f aca="true" t="shared" si="11" ref="K33:K46">(+I33/G33-1)*100</f>
        <v>7.115109941008191</v>
      </c>
      <c r="L33" s="153">
        <f>+L34+L44</f>
        <v>3115750</v>
      </c>
      <c r="M33" s="154">
        <f aca="true" t="shared" si="12" ref="M33:M45">(L33/G33-1)*100</f>
        <v>-54.16801759091277</v>
      </c>
      <c r="N33" s="155">
        <f aca="true" t="shared" si="13" ref="N33:N47">+I33/1000/$I$59*100</f>
        <v>44.429571299139944</v>
      </c>
    </row>
    <row r="34" spans="2:18" ht="16.5">
      <c r="B34" s="40" t="s">
        <v>34</v>
      </c>
      <c r="C34" s="13">
        <f>SUM(C35:C43)</f>
        <v>937943</v>
      </c>
      <c r="D34" s="34">
        <f>SUM(D35:D43)</f>
        <v>832102.6292915797</v>
      </c>
      <c r="E34" s="66">
        <f>SUM(E35:E43)</f>
        <v>904270</v>
      </c>
      <c r="F34" s="21">
        <f t="shared" si="9"/>
        <v>8.672893002376497</v>
      </c>
      <c r="G34" s="149">
        <f>SUM(G35:G43)</f>
        <v>6205300.374990176</v>
      </c>
      <c r="H34" s="150">
        <f t="shared" si="1"/>
        <v>40.059575647217635</v>
      </c>
      <c r="I34" s="147">
        <f>SUM(I35:I43)</f>
        <v>6711799.805680758</v>
      </c>
      <c r="J34" s="151" t="e">
        <f t="shared" si="10"/>
        <v>#DIV/0!</v>
      </c>
      <c r="K34" s="152">
        <f t="shared" si="11"/>
        <v>8.16236765478713</v>
      </c>
      <c r="L34" s="153">
        <f>SUM(L35:L43)</f>
        <v>2894990</v>
      </c>
      <c r="M34" s="154">
        <f t="shared" si="12"/>
        <v>-53.346496945289566</v>
      </c>
      <c r="N34" s="155">
        <f t="shared" si="13"/>
        <v>40.951179770341405</v>
      </c>
      <c r="R34" s="90"/>
    </row>
    <row r="35" spans="2:14" ht="16.5">
      <c r="B35" s="31" t="s">
        <v>17</v>
      </c>
      <c r="C35" s="6">
        <v>269354</v>
      </c>
      <c r="D35" s="33">
        <f>135122/0.585274</f>
        <v>230869.64396163166</v>
      </c>
      <c r="E35" s="65">
        <v>252926</v>
      </c>
      <c r="F35" s="20">
        <f t="shared" si="9"/>
        <v>9.553597285416132</v>
      </c>
      <c r="G35" s="149">
        <v>2256200</v>
      </c>
      <c r="H35" s="150">
        <f t="shared" si="1"/>
        <v>14.565356890623606</v>
      </c>
      <c r="I35" s="162">
        <v>2434400</v>
      </c>
      <c r="J35" s="151" t="e">
        <f t="shared" si="10"/>
        <v>#DIV/0!</v>
      </c>
      <c r="K35" s="152">
        <f t="shared" si="11"/>
        <v>7.89823597198831</v>
      </c>
      <c r="L35" s="177">
        <v>820700</v>
      </c>
      <c r="M35" s="154">
        <f t="shared" si="12"/>
        <v>-63.624678663239074</v>
      </c>
      <c r="N35" s="155">
        <f t="shared" si="13"/>
        <v>14.85317722804274</v>
      </c>
    </row>
    <row r="36" spans="1:18" ht="16.5">
      <c r="A36" s="22" t="s">
        <v>54</v>
      </c>
      <c r="B36" s="31" t="s">
        <v>18</v>
      </c>
      <c r="C36" s="6">
        <v>76954</v>
      </c>
      <c r="D36" s="33">
        <f>61801-224-1366-1357-233-1-5262-202-1648-1164</f>
        <v>50344</v>
      </c>
      <c r="E36" s="65">
        <f>57509-688-2077-545-51-190-132-354</f>
        <v>53472</v>
      </c>
      <c r="F36" s="20">
        <f t="shared" si="9"/>
        <v>6.213252820594306</v>
      </c>
      <c r="G36" s="149">
        <v>788500</v>
      </c>
      <c r="H36" s="150">
        <f t="shared" si="1"/>
        <v>5.090321739321299</v>
      </c>
      <c r="I36" s="178">
        <v>847600</v>
      </c>
      <c r="J36" s="151" t="e">
        <f t="shared" si="10"/>
        <v>#DIV/0!</v>
      </c>
      <c r="K36" s="152">
        <f t="shared" si="11"/>
        <v>7.495244134432477</v>
      </c>
      <c r="L36" s="177">
        <v>207290</v>
      </c>
      <c r="M36" s="154">
        <f t="shared" si="12"/>
        <v>-73.71084337349399</v>
      </c>
      <c r="N36" s="155">
        <v>7.3</v>
      </c>
      <c r="R36" s="90"/>
    </row>
    <row r="37" spans="2:18" ht="16.5">
      <c r="B37" s="31" t="s">
        <v>19</v>
      </c>
      <c r="C37" s="6">
        <v>15523</v>
      </c>
      <c r="D37" s="33">
        <f>2811/0.585274</f>
        <v>4802.878651708431</v>
      </c>
      <c r="E37" s="65">
        <v>6804</v>
      </c>
      <c r="F37" s="20">
        <f t="shared" si="9"/>
        <v>41.665040768409796</v>
      </c>
      <c r="G37" s="149">
        <v>65500</v>
      </c>
      <c r="H37" s="150">
        <f t="shared" si="1"/>
        <v>0.42284854017190243</v>
      </c>
      <c r="I37" s="178">
        <v>70000</v>
      </c>
      <c r="J37" s="151" t="e">
        <f t="shared" si="10"/>
        <v>#DIV/0!</v>
      </c>
      <c r="K37" s="152">
        <f t="shared" si="11"/>
        <v>6.870229007633588</v>
      </c>
      <c r="L37" s="177">
        <v>50000</v>
      </c>
      <c r="M37" s="154">
        <f t="shared" si="12"/>
        <v>-23.664122137404576</v>
      </c>
      <c r="N37" s="155">
        <f t="shared" si="13"/>
        <v>0.4270959603857179</v>
      </c>
      <c r="R37" s="90"/>
    </row>
    <row r="38" spans="2:14" ht="16.5">
      <c r="B38" s="31" t="s">
        <v>20</v>
      </c>
      <c r="C38" s="6">
        <v>155726</v>
      </c>
      <c r="D38" s="33">
        <f>71881/0.585274</f>
        <v>122815.9802075609</v>
      </c>
      <c r="E38" s="65">
        <v>126612</v>
      </c>
      <c r="F38" s="20">
        <f t="shared" si="9"/>
        <v>3.090819114926063</v>
      </c>
      <c r="G38" s="149">
        <v>502800</v>
      </c>
      <c r="H38" s="150">
        <f t="shared" si="1"/>
        <v>3.2459274198233983</v>
      </c>
      <c r="I38" s="162">
        <v>499100</v>
      </c>
      <c r="J38" s="151" t="e">
        <f t="shared" si="10"/>
        <v>#DIV/0!</v>
      </c>
      <c r="K38" s="152">
        <f t="shared" si="11"/>
        <v>-0.7358790771678558</v>
      </c>
      <c r="L38" s="177">
        <v>382000</v>
      </c>
      <c r="M38" s="154">
        <f t="shared" si="12"/>
        <v>-24.025457438345267</v>
      </c>
      <c r="N38" s="155">
        <f t="shared" si="13"/>
        <v>3.045194197550169</v>
      </c>
    </row>
    <row r="39" spans="2:14" ht="16.5">
      <c r="B39" s="31" t="s">
        <v>21</v>
      </c>
      <c r="C39" s="17">
        <v>146560</v>
      </c>
      <c r="D39" s="36">
        <f>(67197+49+3623)/0.585274</f>
        <v>121086.87554888822</v>
      </c>
      <c r="E39" s="59">
        <f>133643+344+301</f>
        <v>134288</v>
      </c>
      <c r="F39" s="20">
        <f t="shared" si="9"/>
        <v>10.90219265405183</v>
      </c>
      <c r="G39" s="149">
        <v>1872400</v>
      </c>
      <c r="H39" s="150">
        <f t="shared" si="1"/>
        <v>12.087658116303361</v>
      </c>
      <c r="I39" s="181">
        <v>2003500</v>
      </c>
      <c r="J39" s="151" t="e">
        <f t="shared" si="10"/>
        <v>#DIV/0!</v>
      </c>
      <c r="K39" s="152">
        <f t="shared" si="11"/>
        <v>7.001709036530657</v>
      </c>
      <c r="L39" s="177">
        <v>492460</v>
      </c>
      <c r="M39" s="154">
        <f t="shared" si="12"/>
        <v>-73.69899594103823</v>
      </c>
      <c r="N39" s="155">
        <f t="shared" si="13"/>
        <v>12.224096523325514</v>
      </c>
    </row>
    <row r="40" spans="1:14" ht="16.5">
      <c r="A40" s="22" t="s">
        <v>41</v>
      </c>
      <c r="B40" s="31" t="s">
        <v>24</v>
      </c>
      <c r="C40" s="17">
        <v>56713</v>
      </c>
      <c r="D40" s="36">
        <f>(28+8362+21620)/0.585274</f>
        <v>51275.129255699045</v>
      </c>
      <c r="E40" s="59">
        <f>201+9034+40881</f>
        <v>50116</v>
      </c>
      <c r="F40" s="20">
        <f t="shared" si="9"/>
        <v>-2.260607184271919</v>
      </c>
      <c r="G40" s="149">
        <f>197220/0.585274</f>
        <v>336970.3762682094</v>
      </c>
      <c r="H40" s="150">
        <f t="shared" si="1"/>
        <v>2.1753806364303667</v>
      </c>
      <c r="I40" s="182">
        <f>198200/0.585274</f>
        <v>338644.8056807581</v>
      </c>
      <c r="J40" s="151" t="e">
        <f t="shared" si="10"/>
        <v>#DIV/0!</v>
      </c>
      <c r="K40" s="152">
        <f t="shared" si="11"/>
        <v>0.4969070074029025</v>
      </c>
      <c r="L40" s="177">
        <v>160000</v>
      </c>
      <c r="M40" s="154">
        <f t="shared" si="12"/>
        <v>-52.51808133049387</v>
      </c>
      <c r="N40" s="155">
        <f t="shared" si="13"/>
        <v>2.066197550169403</v>
      </c>
    </row>
    <row r="41" spans="1:14" ht="16.5">
      <c r="A41" s="25" t="s">
        <v>42</v>
      </c>
      <c r="B41" s="31" t="s">
        <v>25</v>
      </c>
      <c r="C41" s="17">
        <v>12501</v>
      </c>
      <c r="D41" s="36">
        <f>4836/0.585274</f>
        <v>8262.796570495188</v>
      </c>
      <c r="E41" s="59">
        <v>8291</v>
      </c>
      <c r="F41" s="20">
        <f t="shared" si="9"/>
        <v>0.3413303143093458</v>
      </c>
      <c r="G41" s="149">
        <v>52301.99872196613</v>
      </c>
      <c r="H41" s="150">
        <f t="shared" si="1"/>
        <v>0.337646165002383</v>
      </c>
      <c r="I41" s="181">
        <v>54660</v>
      </c>
      <c r="J41" s="151" t="e">
        <f t="shared" si="10"/>
        <v>#DIV/0!</v>
      </c>
      <c r="K41" s="152">
        <f t="shared" si="11"/>
        <v>4.508434353663704</v>
      </c>
      <c r="L41" s="177">
        <v>19720</v>
      </c>
      <c r="M41" s="154">
        <f t="shared" si="12"/>
        <v>-62.2958959851034</v>
      </c>
      <c r="N41" s="155">
        <f t="shared" si="13"/>
        <v>0.33350093135261916</v>
      </c>
    </row>
    <row r="42" spans="1:14" ht="16.5">
      <c r="A42" s="22" t="s">
        <v>44</v>
      </c>
      <c r="B42" s="31" t="s">
        <v>26</v>
      </c>
      <c r="C42" s="7">
        <v>140242</v>
      </c>
      <c r="D42" s="36">
        <f>128398/0.585274</f>
        <v>219381.00786981825</v>
      </c>
      <c r="E42" s="59">
        <f>102620+145362+76096-E40-E41</f>
        <v>265671</v>
      </c>
      <c r="F42" s="20">
        <f t="shared" si="9"/>
        <v>21.10027325503512</v>
      </c>
      <c r="G42" s="149">
        <f>6798200-6467572</f>
        <v>330628</v>
      </c>
      <c r="H42" s="150">
        <f t="shared" si="1"/>
        <v>2.134436139541309</v>
      </c>
      <c r="I42" s="182">
        <f>7281900-6818005</f>
        <v>463895</v>
      </c>
      <c r="J42" s="151" t="e">
        <f t="shared" si="10"/>
        <v>#DIV/0!</v>
      </c>
      <c r="K42" s="152">
        <f t="shared" si="11"/>
        <v>40.30723350714398</v>
      </c>
      <c r="L42" s="177">
        <f>857820-L40</f>
        <v>697820</v>
      </c>
      <c r="M42" s="154">
        <f t="shared" si="12"/>
        <v>111.05895447451518</v>
      </c>
      <c r="N42" s="155">
        <f t="shared" si="13"/>
        <v>2.830395436330466</v>
      </c>
    </row>
    <row r="43" spans="1:14" ht="16.5">
      <c r="A43" s="25" t="s">
        <v>53</v>
      </c>
      <c r="B43" s="41" t="s">
        <v>27</v>
      </c>
      <c r="C43" s="7">
        <v>64370</v>
      </c>
      <c r="D43" s="36">
        <f>(8010+5606)/0.585274</f>
        <v>23264.317225778013</v>
      </c>
      <c r="E43" s="59">
        <f>5749+341</f>
        <v>6090</v>
      </c>
      <c r="F43" s="20">
        <f t="shared" si="9"/>
        <v>-73.82257153349002</v>
      </c>
      <c r="G43" s="149">
        <v>0</v>
      </c>
      <c r="H43" s="150">
        <f t="shared" si="1"/>
        <v>0</v>
      </c>
      <c r="I43" s="181">
        <v>0</v>
      </c>
      <c r="J43" s="151" t="e">
        <f t="shared" si="10"/>
        <v>#DIV/0!</v>
      </c>
      <c r="K43" s="152" t="e">
        <f t="shared" si="11"/>
        <v>#DIV/0!</v>
      </c>
      <c r="L43" s="177">
        <v>65000</v>
      </c>
      <c r="M43" s="154" t="e">
        <f t="shared" si="12"/>
        <v>#DIV/0!</v>
      </c>
      <c r="N43" s="155">
        <f t="shared" si="13"/>
        <v>0</v>
      </c>
    </row>
    <row r="44" spans="2:14" ht="16.5">
      <c r="B44" s="40" t="s">
        <v>35</v>
      </c>
      <c r="C44" s="8">
        <f>+C45+C46</f>
        <v>70847</v>
      </c>
      <c r="D44" s="37">
        <f>+D45+D46</f>
        <v>20999</v>
      </c>
      <c r="E44" s="60">
        <f>+E45+E46</f>
        <v>20050</v>
      </c>
      <c r="F44" s="21">
        <f t="shared" si="9"/>
        <v>-4.519262822039153</v>
      </c>
      <c r="G44" s="149">
        <f>+G45+G46</f>
        <v>592900</v>
      </c>
      <c r="H44" s="150">
        <f t="shared" si="1"/>
        <v>3.8275862514186403</v>
      </c>
      <c r="I44" s="187">
        <f>+I45+I46</f>
        <v>570100</v>
      </c>
      <c r="J44" s="151" t="e">
        <f t="shared" si="10"/>
        <v>#DIV/0!</v>
      </c>
      <c r="K44" s="152">
        <f t="shared" si="11"/>
        <v>-3.8455051442064403</v>
      </c>
      <c r="L44" s="153">
        <f>+L45+L46</f>
        <v>220760</v>
      </c>
      <c r="M44" s="154">
        <f t="shared" si="12"/>
        <v>-62.76606510372744</v>
      </c>
      <c r="N44" s="155">
        <f t="shared" si="13"/>
        <v>3.4783915287985403</v>
      </c>
    </row>
    <row r="45" spans="1:14" ht="16.5">
      <c r="A45" s="27">
        <v>31</v>
      </c>
      <c r="B45" s="31" t="s">
        <v>28</v>
      </c>
      <c r="C45" s="7">
        <v>53202</v>
      </c>
      <c r="D45" s="36">
        <f>22769-50-16-106-860-582-140-16</f>
        <v>20999</v>
      </c>
      <c r="E45" s="59">
        <f>21763-24-4-1109-555-21</f>
        <v>20050</v>
      </c>
      <c r="F45" s="20">
        <f t="shared" si="9"/>
        <v>-4.519262822039153</v>
      </c>
      <c r="G45" s="149">
        <v>476600</v>
      </c>
      <c r="H45" s="150">
        <f t="shared" si="1"/>
        <v>3.076788003754637</v>
      </c>
      <c r="I45" s="181">
        <v>505200</v>
      </c>
      <c r="J45" s="151" t="e">
        <f t="shared" si="10"/>
        <v>#DIV/0!</v>
      </c>
      <c r="K45" s="152">
        <f t="shared" si="11"/>
        <v>6.0008392782207265</v>
      </c>
      <c r="L45" s="177">
        <v>220760</v>
      </c>
      <c r="M45" s="154">
        <f t="shared" si="12"/>
        <v>-53.6802349979018</v>
      </c>
      <c r="N45" s="155">
        <f t="shared" si="13"/>
        <v>3.0824125598123526</v>
      </c>
    </row>
    <row r="46" spans="2:14" ht="16.5">
      <c r="B46" s="31" t="s">
        <v>29</v>
      </c>
      <c r="C46" s="7">
        <f>11749+5896</f>
        <v>17645</v>
      </c>
      <c r="D46" s="36">
        <v>0</v>
      </c>
      <c r="E46" s="59">
        <v>0</v>
      </c>
      <c r="F46" s="20">
        <v>0</v>
      </c>
      <c r="G46" s="149">
        <v>116300</v>
      </c>
      <c r="H46" s="150">
        <f t="shared" si="1"/>
        <v>0.7507982476640039</v>
      </c>
      <c r="I46" s="181">
        <v>64900</v>
      </c>
      <c r="J46" s="151" t="e">
        <f t="shared" si="10"/>
        <v>#DIV/0!</v>
      </c>
      <c r="K46" s="152">
        <f t="shared" si="11"/>
        <v>-44.196044711951856</v>
      </c>
      <c r="L46" s="177">
        <v>0</v>
      </c>
      <c r="M46" s="189">
        <v>0</v>
      </c>
      <c r="N46" s="155">
        <f t="shared" si="13"/>
        <v>0.39597896898618706</v>
      </c>
    </row>
    <row r="47" spans="2:14" ht="16.5">
      <c r="B47" s="40" t="s">
        <v>30</v>
      </c>
      <c r="C47" s="8">
        <v>7642</v>
      </c>
      <c r="D47" s="37">
        <v>0</v>
      </c>
      <c r="E47" s="60">
        <v>0</v>
      </c>
      <c r="F47" s="21"/>
      <c r="G47" s="149">
        <v>0</v>
      </c>
      <c r="H47" s="150">
        <f t="shared" si="1"/>
        <v>0</v>
      </c>
      <c r="I47" s="187">
        <v>0</v>
      </c>
      <c r="J47" s="175"/>
      <c r="K47" s="188"/>
      <c r="L47" s="158"/>
      <c r="M47" s="158"/>
      <c r="N47" s="155">
        <f t="shared" si="13"/>
        <v>0</v>
      </c>
    </row>
    <row r="48" spans="2:14" ht="16.5">
      <c r="B48" s="41"/>
      <c r="C48" s="7"/>
      <c r="D48" s="35"/>
      <c r="E48" s="67"/>
      <c r="F48" s="24"/>
      <c r="G48" s="149"/>
      <c r="H48" s="150"/>
      <c r="I48" s="169"/>
      <c r="J48" s="190"/>
      <c r="K48" s="172"/>
      <c r="L48" s="158"/>
      <c r="M48" s="158"/>
      <c r="N48" s="155"/>
    </row>
    <row r="49" spans="2:14" ht="16.5">
      <c r="B49" s="40" t="s">
        <v>31</v>
      </c>
      <c r="C49" s="8">
        <f>+C13+C29-C34</f>
        <v>-22531</v>
      </c>
      <c r="D49" s="37">
        <f>+D13+D29-D34</f>
        <v>49279.4242423207</v>
      </c>
      <c r="E49" s="60">
        <f>+E13+E29-E34</f>
        <v>41041</v>
      </c>
      <c r="F49" s="21"/>
      <c r="G49" s="149">
        <f>+G13+G29-G34</f>
        <v>1086899.4058270138</v>
      </c>
      <c r="H49" s="150">
        <f t="shared" si="1"/>
        <v>7.016699649887954</v>
      </c>
      <c r="I49" s="187">
        <f>+I13+I29-I34</f>
        <v>732600.1943192417</v>
      </c>
      <c r="J49" s="151" t="e">
        <f>+I49/1000/$K$59*100</f>
        <v>#DIV/0!</v>
      </c>
      <c r="K49" s="152">
        <f>(+I49/G49-1)*100</f>
        <v>-32.59724033414007</v>
      </c>
      <c r="L49" s="153">
        <f>+L13+L29-L34</f>
        <v>24210</v>
      </c>
      <c r="M49" s="158"/>
      <c r="N49" s="155">
        <f>+I49/1000/$I$59*100</f>
        <v>4.46986547959343</v>
      </c>
    </row>
    <row r="50" spans="2:14" ht="16.5">
      <c r="B50" s="40"/>
      <c r="C50" s="14"/>
      <c r="D50" s="38"/>
      <c r="E50" s="68"/>
      <c r="F50" s="24"/>
      <c r="G50" s="149"/>
      <c r="H50" s="150"/>
      <c r="I50" s="193"/>
      <c r="J50" s="194"/>
      <c r="K50" s="172"/>
      <c r="L50" s="195"/>
      <c r="M50" s="158"/>
      <c r="N50" s="155"/>
    </row>
    <row r="51" spans="2:14" ht="16.5">
      <c r="B51" s="40" t="s">
        <v>32</v>
      </c>
      <c r="C51" s="8">
        <f>+C10-C31</f>
        <v>-100665</v>
      </c>
      <c r="D51" s="37">
        <f>+D10-D31</f>
        <v>28280.424242320703</v>
      </c>
      <c r="E51" s="60">
        <f>+E10-E31</f>
        <v>20991</v>
      </c>
      <c r="F51" s="24"/>
      <c r="G51" s="149">
        <f>+G10-G31</f>
        <v>505499.4058270138</v>
      </c>
      <c r="H51" s="150">
        <f t="shared" si="1"/>
        <v>3.2633539818582724</v>
      </c>
      <c r="I51" s="187">
        <f>+I10-I31</f>
        <v>162500.19431924168</v>
      </c>
      <c r="J51" s="151" t="e">
        <f>+I51/1000/$K$59*100</f>
        <v>#DIV/0!</v>
      </c>
      <c r="K51" s="172"/>
      <c r="L51" s="153" t="e">
        <f>+L10-L31</f>
        <v>#DIV/0!</v>
      </c>
      <c r="M51" s="158"/>
      <c r="N51" s="155">
        <f>+I51/1000/$I$59*100</f>
        <v>0.9914739507948901</v>
      </c>
    </row>
    <row r="52" spans="2:14" ht="16.5">
      <c r="B52" s="40" t="s">
        <v>22</v>
      </c>
      <c r="C52" s="26">
        <f>+C51/1000/C59*100</f>
        <v>-1.6339068333062816</v>
      </c>
      <c r="D52" s="62">
        <f>+D51/1000/D59*100</f>
        <v>0.18256978116693587</v>
      </c>
      <c r="E52" s="69">
        <f>+E51/1000/E59*100</f>
        <v>0.12807387577795148</v>
      </c>
      <c r="F52" s="26"/>
      <c r="G52" s="199">
        <f>+G51/1000/G59*100</f>
        <v>3.2633539818582724</v>
      </c>
      <c r="H52" s="200"/>
      <c r="I52" s="198">
        <f>+I51/1000/I59*100</f>
        <v>0.9914739507948901</v>
      </c>
      <c r="J52" s="151"/>
      <c r="K52" s="172"/>
      <c r="L52" s="154" t="e">
        <f>+L51/1000/M59*100</f>
        <v>#DIV/0!</v>
      </c>
      <c r="M52" s="158"/>
      <c r="N52" s="143"/>
    </row>
    <row r="53" spans="2:14" ht="16.5">
      <c r="B53" s="40"/>
      <c r="C53" s="14"/>
      <c r="D53" s="39"/>
      <c r="E53" s="70"/>
      <c r="F53" s="24"/>
      <c r="G53" s="149"/>
      <c r="H53" s="203"/>
      <c r="I53" s="202"/>
      <c r="J53" s="190"/>
      <c r="K53" s="172"/>
      <c r="L53" s="157"/>
      <c r="M53" s="158"/>
      <c r="N53" s="143"/>
    </row>
    <row r="54" spans="2:14" ht="16.5">
      <c r="B54" s="40" t="s">
        <v>33</v>
      </c>
      <c r="C54" s="19">
        <f>+C51+C38</f>
        <v>55061</v>
      </c>
      <c r="D54" s="38">
        <f>+D51+D38</f>
        <v>151096.4044498816</v>
      </c>
      <c r="E54" s="68">
        <f>+E51+E38</f>
        <v>147603</v>
      </c>
      <c r="F54" s="24"/>
      <c r="G54" s="149">
        <v>1051058.1368726443</v>
      </c>
      <c r="H54" s="205"/>
      <c r="I54" s="193">
        <f>+I51+I38</f>
        <v>661600.1943192417</v>
      </c>
      <c r="J54" s="206"/>
      <c r="K54" s="172"/>
      <c r="L54" s="195" t="e">
        <f>+L51+L38</f>
        <v>#DIV/0!</v>
      </c>
      <c r="M54" s="158"/>
      <c r="N54" s="143"/>
    </row>
    <row r="55" spans="2:14" ht="17.25" thickBot="1">
      <c r="B55" s="42"/>
      <c r="C55" s="28"/>
      <c r="D55" s="54"/>
      <c r="E55" s="61"/>
      <c r="F55" s="28"/>
      <c r="G55" s="210"/>
      <c r="H55" s="211"/>
      <c r="I55" s="212"/>
      <c r="J55" s="213"/>
      <c r="K55" s="214"/>
      <c r="L55" s="215"/>
      <c r="M55" s="215"/>
      <c r="N55" s="216"/>
    </row>
    <row r="56" spans="2:11" ht="13.5" thickTop="1">
      <c r="B56" s="29"/>
      <c r="C56" s="30"/>
      <c r="D56" s="4"/>
      <c r="E56" s="4"/>
      <c r="F56" s="29"/>
      <c r="G56" s="29"/>
      <c r="H56" s="79"/>
      <c r="I56" s="29"/>
      <c r="J56" s="29"/>
      <c r="K56" s="79"/>
    </row>
    <row r="57" spans="2:5" ht="12.75">
      <c r="B57" s="2" t="s">
        <v>40</v>
      </c>
      <c r="D57" s="75"/>
      <c r="E57"/>
    </row>
    <row r="58" spans="2:5" ht="12.75">
      <c r="B58" s="1"/>
      <c r="D58" s="75"/>
      <c r="E58"/>
    </row>
    <row r="59" spans="2:14" ht="12.75">
      <c r="B59" s="1"/>
      <c r="C59" s="22">
        <v>6161</v>
      </c>
      <c r="D59" s="73">
        <v>15490.2</v>
      </c>
      <c r="E59" s="73">
        <f>9592.5/0.585274</f>
        <v>16389.75932640097</v>
      </c>
      <c r="F59" s="74"/>
      <c r="G59" s="73">
        <v>15490.18</v>
      </c>
      <c r="H59" s="82"/>
      <c r="I59" s="73">
        <f>9592.5/0.585274</f>
        <v>16389.75932640097</v>
      </c>
      <c r="J59" s="73">
        <v>8260.3</v>
      </c>
      <c r="K59" s="80"/>
      <c r="L59" s="80"/>
      <c r="M59" s="80"/>
      <c r="N59" s="81"/>
    </row>
    <row r="60" spans="2:5" ht="12.75">
      <c r="B60" s="1"/>
      <c r="D60"/>
      <c r="E60"/>
    </row>
    <row r="61" ht="12.75">
      <c r="B61" s="2"/>
    </row>
    <row r="63" ht="18" customHeight="1">
      <c r="B63" s="23"/>
    </row>
    <row r="64" ht="18" customHeight="1"/>
    <row r="65" ht="18" customHeight="1"/>
    <row r="66" ht="18" customHeight="1"/>
    <row r="67" ht="18" customHeight="1"/>
  </sheetData>
  <mergeCells count="1">
    <mergeCell ref="I4:N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N63"/>
  <sheetViews>
    <sheetView zoomScale="75" zoomScaleNormal="75" workbookViewId="0" topLeftCell="A1">
      <selection activeCell="E15" sqref="E15"/>
    </sheetView>
  </sheetViews>
  <sheetFormatPr defaultColWidth="9.140625" defaultRowHeight="12.75"/>
  <cols>
    <col min="1" max="1" width="8.8515625" style="93" customWidth="1"/>
    <col min="2" max="2" width="35.140625" style="93" customWidth="1"/>
    <col min="3" max="3" width="0.9921875" style="93" customWidth="1"/>
    <col min="4" max="5" width="12.8515625" style="93" bestFit="1" customWidth="1"/>
    <col min="6" max="6" width="10.00390625" style="93" bestFit="1" customWidth="1"/>
    <col min="7" max="7" width="14.00390625" style="93" bestFit="1" customWidth="1"/>
    <col min="8" max="8" width="12.140625" style="95" customWidth="1"/>
    <col min="9" max="9" width="12.421875" style="93" customWidth="1"/>
    <col min="10" max="10" width="9.140625" style="93" hidden="1" customWidth="1"/>
    <col min="11" max="11" width="12.00390625" style="95" customWidth="1"/>
    <col min="12" max="12" width="14.7109375" style="95" hidden="1" customWidth="1"/>
    <col min="13" max="13" width="9.421875" style="95" hidden="1" customWidth="1"/>
    <col min="14" max="14" width="12.140625" style="96" customWidth="1"/>
    <col min="15" max="15" width="5.421875" style="93" customWidth="1"/>
    <col min="16" max="16384" width="8.8515625" style="93" customWidth="1"/>
  </cols>
  <sheetData>
    <row r="1" spans="2:14" ht="19.5">
      <c r="B1" s="363" t="s">
        <v>63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</row>
    <row r="2" ht="16.5">
      <c r="B2" s="94"/>
    </row>
    <row r="3" spans="2:11" ht="17.25" thickBot="1">
      <c r="B3" s="97"/>
      <c r="C3" s="98"/>
      <c r="D3" s="99"/>
      <c r="E3" s="99"/>
      <c r="F3" s="99"/>
      <c r="G3" s="99"/>
      <c r="H3" s="100"/>
      <c r="I3" s="99"/>
      <c r="J3" s="99"/>
      <c r="K3" s="100"/>
    </row>
    <row r="4" spans="2:14" ht="15.75" thickBot="1">
      <c r="B4" s="101"/>
      <c r="C4" s="102"/>
      <c r="D4" s="101"/>
      <c r="E4" s="103"/>
      <c r="F4" s="104"/>
      <c r="G4" s="105"/>
      <c r="H4" s="106"/>
      <c r="I4" s="360" t="s">
        <v>66</v>
      </c>
      <c r="J4" s="361"/>
      <c r="K4" s="361"/>
      <c r="L4" s="361"/>
      <c r="M4" s="361"/>
      <c r="N4" s="362"/>
    </row>
    <row r="5" spans="2:14" ht="16.5">
      <c r="B5" s="107"/>
      <c r="C5" s="108"/>
      <c r="D5" s="109" t="s">
        <v>68</v>
      </c>
      <c r="E5" s="110" t="s">
        <v>68</v>
      </c>
      <c r="F5" s="111" t="s">
        <v>16</v>
      </c>
      <c r="G5" s="112" t="s">
        <v>48</v>
      </c>
      <c r="H5" s="113">
        <v>2007</v>
      </c>
      <c r="I5" s="114">
        <v>2008</v>
      </c>
      <c r="J5" s="115" t="s">
        <v>46</v>
      </c>
      <c r="K5" s="116" t="s">
        <v>43</v>
      </c>
      <c r="L5" s="117" t="s">
        <v>45</v>
      </c>
      <c r="M5" s="115" t="s">
        <v>43</v>
      </c>
      <c r="N5" s="113">
        <v>2008</v>
      </c>
    </row>
    <row r="6" spans="2:14" ht="16.5">
      <c r="B6" s="107"/>
      <c r="C6" s="108"/>
      <c r="D6" s="109">
        <v>2007</v>
      </c>
      <c r="E6" s="118">
        <v>2008</v>
      </c>
      <c r="F6" s="115"/>
      <c r="G6" s="112">
        <v>2007</v>
      </c>
      <c r="H6" s="113" t="s">
        <v>57</v>
      </c>
      <c r="I6" s="114"/>
      <c r="J6" s="115" t="s">
        <v>47</v>
      </c>
      <c r="K6" s="116" t="s">
        <v>16</v>
      </c>
      <c r="L6" s="117">
        <v>2006</v>
      </c>
      <c r="M6" s="115" t="s">
        <v>16</v>
      </c>
      <c r="N6" s="113" t="s">
        <v>61</v>
      </c>
    </row>
    <row r="7" spans="2:14" ht="16.5">
      <c r="B7" s="107"/>
      <c r="C7" s="108">
        <v>2002</v>
      </c>
      <c r="D7" s="109" t="s">
        <v>64</v>
      </c>
      <c r="E7" s="118" t="s">
        <v>64</v>
      </c>
      <c r="F7" s="108" t="s">
        <v>59</v>
      </c>
      <c r="G7" s="119" t="s">
        <v>64</v>
      </c>
      <c r="H7" s="113" t="s">
        <v>55</v>
      </c>
      <c r="I7" s="118" t="s">
        <v>64</v>
      </c>
      <c r="J7" s="115">
        <v>2003</v>
      </c>
      <c r="K7" s="116" t="s">
        <v>60</v>
      </c>
      <c r="L7" s="117"/>
      <c r="M7" s="115" t="s">
        <v>52</v>
      </c>
      <c r="N7" s="113" t="s">
        <v>55</v>
      </c>
    </row>
    <row r="8" spans="2:14" ht="17.25" thickBot="1">
      <c r="B8" s="120"/>
      <c r="C8" s="121"/>
      <c r="D8" s="122"/>
      <c r="E8" s="123"/>
      <c r="F8" s="124"/>
      <c r="G8" s="125"/>
      <c r="H8" s="126"/>
      <c r="I8" s="127"/>
      <c r="J8" s="128"/>
      <c r="K8" s="129"/>
      <c r="L8" s="130"/>
      <c r="M8" s="131"/>
      <c r="N8" s="132"/>
    </row>
    <row r="9" spans="2:14" ht="16.5">
      <c r="B9" s="133"/>
      <c r="C9" s="98"/>
      <c r="D9" s="134"/>
      <c r="E9" s="135"/>
      <c r="F9" s="136"/>
      <c r="G9" s="137"/>
      <c r="H9" s="138"/>
      <c r="I9" s="139"/>
      <c r="J9" s="140"/>
      <c r="K9" s="141"/>
      <c r="L9" s="142"/>
      <c r="M9" s="142"/>
      <c r="N9" s="143"/>
    </row>
    <row r="10" spans="2:14" ht="16.5">
      <c r="B10" s="144" t="s">
        <v>1</v>
      </c>
      <c r="C10" s="145">
        <f>C12+C29</f>
        <v>915767</v>
      </c>
      <c r="D10" s="146">
        <f>D12+D29</f>
        <v>1417290.021425862</v>
      </c>
      <c r="E10" s="147">
        <f>E12+E29</f>
        <v>1493956</v>
      </c>
      <c r="F10" s="148">
        <f>(+E10/D10)*100-100</f>
        <v>5.4093359450176735</v>
      </c>
      <c r="G10" s="149">
        <f>G12+G29</f>
        <v>7303699.78081719</v>
      </c>
      <c r="H10" s="150">
        <f>+G10/1000/$G$59*100</f>
        <v>47.150515880494545</v>
      </c>
      <c r="I10" s="147">
        <f>I12+I29</f>
        <v>7444400</v>
      </c>
      <c r="J10" s="151" t="e">
        <f>+I10/1000/$K$59*100</f>
        <v>#DIV/0!</v>
      </c>
      <c r="K10" s="152">
        <f>(+I10/G10-1)*100</f>
        <v>1.9264239139778372</v>
      </c>
      <c r="L10" s="153" t="e">
        <f>+L12+L29</f>
        <v>#DIV/0!</v>
      </c>
      <c r="M10" s="154" t="e">
        <f>(L10/G10-1)*100</f>
        <v>#DIV/0!</v>
      </c>
      <c r="N10" s="155">
        <f>+I10/1000/$I$59*100</f>
        <v>45.421045249934835</v>
      </c>
    </row>
    <row r="11" spans="2:14" ht="16.5">
      <c r="B11" s="144"/>
      <c r="C11" s="145"/>
      <c r="D11" s="146"/>
      <c r="E11" s="147"/>
      <c r="F11" s="148"/>
      <c r="G11" s="149"/>
      <c r="H11" s="150"/>
      <c r="I11" s="147"/>
      <c r="J11" s="156"/>
      <c r="K11" s="152"/>
      <c r="L11" s="157"/>
      <c r="M11" s="158"/>
      <c r="N11" s="155"/>
    </row>
    <row r="12" spans="2:14" ht="16.5">
      <c r="B12" s="144" t="s">
        <v>2</v>
      </c>
      <c r="C12" s="145">
        <f>C13+C28</f>
        <v>915200</v>
      </c>
      <c r="D12" s="146">
        <f>D13+D28</f>
        <v>1411858.3774437273</v>
      </c>
      <c r="E12" s="147">
        <f>E13+E28</f>
        <v>1488536</v>
      </c>
      <c r="F12" s="148">
        <f aca="true" t="shared" si="0" ref="F12:F17">(+E12/D12)*100-100</f>
        <v>5.430971249050003</v>
      </c>
      <c r="G12" s="149">
        <f>G13+G28</f>
        <v>7303699.78081719</v>
      </c>
      <c r="H12" s="150">
        <f aca="true" t="shared" si="1" ref="H12:H51">+G12/1000/$G$59*100</f>
        <v>47.150515880494545</v>
      </c>
      <c r="I12" s="147">
        <f>I13+I28</f>
        <v>7444400</v>
      </c>
      <c r="J12" s="151" t="e">
        <f>+I12/1000/$K$59*100</f>
        <v>#DIV/0!</v>
      </c>
      <c r="K12" s="152">
        <f aca="true" t="shared" si="2" ref="K12:K17">(+I12/G12-1)*100</f>
        <v>1.9264239139778372</v>
      </c>
      <c r="L12" s="153" t="e">
        <f>+L13+L28</f>
        <v>#DIV/0!</v>
      </c>
      <c r="M12" s="154" t="e">
        <f aca="true" t="shared" si="3" ref="M12:M17">(L12/G12-1)*100</f>
        <v>#DIV/0!</v>
      </c>
      <c r="N12" s="155">
        <f aca="true" t="shared" si="4" ref="N12:N24">+I12/1000/$I$59*100</f>
        <v>45.421045249934835</v>
      </c>
    </row>
    <row r="13" spans="2:14" ht="16.5">
      <c r="B13" s="144" t="s">
        <v>3</v>
      </c>
      <c r="C13" s="145">
        <f>C14+C27</f>
        <v>914845</v>
      </c>
      <c r="D13" s="146">
        <f>D14+D27</f>
        <v>1411858.3774437273</v>
      </c>
      <c r="E13" s="147">
        <f>E14+E27</f>
        <v>1488536</v>
      </c>
      <c r="F13" s="148">
        <f t="shared" si="0"/>
        <v>5.430971249050003</v>
      </c>
      <c r="G13" s="149">
        <f>G14+G27</f>
        <v>7292199.78081719</v>
      </c>
      <c r="H13" s="150">
        <f t="shared" si="1"/>
        <v>47.07627529710558</v>
      </c>
      <c r="I13" s="147">
        <f>I14+I27</f>
        <v>7444400</v>
      </c>
      <c r="J13" s="151" t="e">
        <f aca="true" t="shared" si="5" ref="J13:J24">+I13/1000/$K$59*100</f>
        <v>#DIV/0!</v>
      </c>
      <c r="K13" s="152">
        <f t="shared" si="2"/>
        <v>2.0871646931998056</v>
      </c>
      <c r="L13" s="153">
        <f>+L14+L27</f>
        <v>2824200</v>
      </c>
      <c r="M13" s="154">
        <f t="shared" si="3"/>
        <v>-61.27094587521695</v>
      </c>
      <c r="N13" s="155">
        <f t="shared" si="4"/>
        <v>45.421045249934835</v>
      </c>
    </row>
    <row r="14" spans="2:14" ht="16.5">
      <c r="B14" s="144" t="s">
        <v>4</v>
      </c>
      <c r="C14" s="145">
        <f>C15+C19+C26</f>
        <v>788907</v>
      </c>
      <c r="D14" s="146">
        <f>D15+D19+D26</f>
        <v>1280277.2718419067</v>
      </c>
      <c r="E14" s="147">
        <f>E15+E19+E26</f>
        <v>1349380</v>
      </c>
      <c r="F14" s="148">
        <f t="shared" si="0"/>
        <v>5.397481442334495</v>
      </c>
      <c r="G14" s="149">
        <f>G15+G19+G26</f>
        <v>6537699.78081719</v>
      </c>
      <c r="H14" s="150">
        <f t="shared" si="1"/>
        <v>42.20544745649947</v>
      </c>
      <c r="I14" s="147">
        <f>I15+I19+I26</f>
        <v>6751500</v>
      </c>
      <c r="J14" s="151" t="e">
        <f t="shared" si="5"/>
        <v>#DIV/0!</v>
      </c>
      <c r="K14" s="152">
        <f t="shared" si="2"/>
        <v>3.270266704661773</v>
      </c>
      <c r="L14" s="153">
        <f>+L15+L19+L26</f>
        <v>2442200</v>
      </c>
      <c r="M14" s="154">
        <f t="shared" si="3"/>
        <v>-62.64435379602682</v>
      </c>
      <c r="N14" s="155">
        <f t="shared" si="4"/>
        <v>41.193405379202495</v>
      </c>
    </row>
    <row r="15" spans="2:14" ht="16.5">
      <c r="B15" s="144" t="s">
        <v>5</v>
      </c>
      <c r="C15" s="145">
        <f>C16+C17</f>
        <v>267215</v>
      </c>
      <c r="D15" s="146">
        <f>D16+D17</f>
        <v>462831.0842443027</v>
      </c>
      <c r="E15" s="147">
        <f>E16+E17</f>
        <v>443129</v>
      </c>
      <c r="F15" s="148">
        <f t="shared" si="0"/>
        <v>-4.256862798329919</v>
      </c>
      <c r="G15" s="149">
        <f>G16+G17</f>
        <v>2176000</v>
      </c>
      <c r="H15" s="150">
        <f t="shared" si="1"/>
        <v>14.047609517771903</v>
      </c>
      <c r="I15" s="147">
        <f>I16+I17</f>
        <v>2195600</v>
      </c>
      <c r="J15" s="151" t="e">
        <f t="shared" si="5"/>
        <v>#DIV/0!</v>
      </c>
      <c r="K15" s="152">
        <f t="shared" si="2"/>
        <v>0.9007352941176494</v>
      </c>
      <c r="L15" s="153">
        <f>+L16+L17</f>
        <v>798200</v>
      </c>
      <c r="M15" s="154">
        <f t="shared" si="3"/>
        <v>-63.318014705882355</v>
      </c>
      <c r="N15" s="155">
        <f t="shared" si="4"/>
        <v>13.396169866041173</v>
      </c>
    </row>
    <row r="16" spans="2:14" ht="16.5">
      <c r="B16" s="144" t="s">
        <v>6</v>
      </c>
      <c r="C16" s="145">
        <v>191033</v>
      </c>
      <c r="D16" s="146">
        <f>(3653+153530)/0.585274</f>
        <v>268563.1003598315</v>
      </c>
      <c r="E16" s="147">
        <f>265046+5976</f>
        <v>271022</v>
      </c>
      <c r="F16" s="148">
        <f t="shared" si="0"/>
        <v>0.9155761297341201</v>
      </c>
      <c r="G16" s="149">
        <v>1680040</v>
      </c>
      <c r="H16" s="150">
        <f t="shared" si="1"/>
        <v>10.845839105807679</v>
      </c>
      <c r="I16" s="147">
        <v>1669660</v>
      </c>
      <c r="J16" s="151" t="e">
        <f t="shared" si="5"/>
        <v>#DIV/0!</v>
      </c>
      <c r="K16" s="152">
        <f t="shared" si="2"/>
        <v>-0.6178424323230347</v>
      </c>
      <c r="L16" s="153">
        <f>-5000+502900</f>
        <v>497900</v>
      </c>
      <c r="M16" s="154">
        <f t="shared" si="3"/>
        <v>-70.36380086188424</v>
      </c>
      <c r="N16" s="155">
        <f t="shared" si="4"/>
        <v>10.187214874537398</v>
      </c>
    </row>
    <row r="17" spans="2:14" ht="16.5">
      <c r="B17" s="144" t="s">
        <v>7</v>
      </c>
      <c r="C17" s="145">
        <v>76182</v>
      </c>
      <c r="D17" s="146">
        <f>(12769+33733+67198)/0.585274</f>
        <v>194267.9838844712</v>
      </c>
      <c r="E17" s="147">
        <f>21131+11271+129960+9745</f>
        <v>172107</v>
      </c>
      <c r="F17" s="148">
        <f t="shared" si="0"/>
        <v>-11.407429799472297</v>
      </c>
      <c r="G17" s="149">
        <f>2176000-1680040</f>
        <v>495960</v>
      </c>
      <c r="H17" s="150">
        <f t="shared" si="1"/>
        <v>3.2017704119642247</v>
      </c>
      <c r="I17" s="159">
        <v>525940</v>
      </c>
      <c r="J17" s="151" t="e">
        <f t="shared" si="5"/>
        <v>#DIV/0!</v>
      </c>
      <c r="K17" s="152">
        <f t="shared" si="2"/>
        <v>6.0448423259940265</v>
      </c>
      <c r="L17" s="153">
        <f>308300-8000</f>
        <v>300300</v>
      </c>
      <c r="M17" s="154">
        <f t="shared" si="3"/>
        <v>-39.450762158238575</v>
      </c>
      <c r="N17" s="155">
        <f t="shared" si="4"/>
        <v>3.208954991503779</v>
      </c>
    </row>
    <row r="18" spans="2:14" ht="16.5">
      <c r="B18" s="133"/>
      <c r="C18" s="160"/>
      <c r="D18" s="161"/>
      <c r="E18" s="162"/>
      <c r="F18" s="163"/>
      <c r="G18" s="149"/>
      <c r="H18" s="150"/>
      <c r="I18" s="147"/>
      <c r="J18" s="164"/>
      <c r="K18" s="165"/>
      <c r="L18" s="158"/>
      <c r="M18" s="158"/>
      <c r="N18" s="155">
        <f t="shared" si="4"/>
        <v>0</v>
      </c>
    </row>
    <row r="19" spans="2:14" ht="16.5">
      <c r="B19" s="144" t="s">
        <v>9</v>
      </c>
      <c r="C19" s="145">
        <f>C20+C21</f>
        <v>371674</v>
      </c>
      <c r="D19" s="146">
        <f>D20+D21</f>
        <v>625835.0789544727</v>
      </c>
      <c r="E19" s="147">
        <f>E20+E21</f>
        <v>702760</v>
      </c>
      <c r="F19" s="148">
        <f aca="true" t="shared" si="6" ref="F19:F24">(+E19/D19)*100-100</f>
        <v>12.291564284641737</v>
      </c>
      <c r="G19" s="149">
        <f>G20+G21</f>
        <v>3113899.78081719</v>
      </c>
      <c r="H19" s="150">
        <f t="shared" si="1"/>
        <v>20.10241185588024</v>
      </c>
      <c r="I19" s="147">
        <f>I20+I21</f>
        <v>3217300</v>
      </c>
      <c r="J19" s="151" t="e">
        <f t="shared" si="5"/>
        <v>#DIV/0!</v>
      </c>
      <c r="K19" s="152">
        <f aca="true" t="shared" si="7" ref="K19:K24">(+I19/G19-1)*100</f>
        <v>3.3206020251452806</v>
      </c>
      <c r="L19" s="153">
        <f>+L20+L21</f>
        <v>1207200</v>
      </c>
      <c r="M19" s="154">
        <f aca="true" t="shared" si="8" ref="M19:M24">(L19/G19-1)*100</f>
        <v>-61.23189296467368</v>
      </c>
      <c r="N19" s="155">
        <f t="shared" si="4"/>
        <v>19.62994047641386</v>
      </c>
    </row>
    <row r="20" spans="2:14" ht="16.5">
      <c r="B20" s="144" t="s">
        <v>10</v>
      </c>
      <c r="C20" s="145">
        <v>36073</v>
      </c>
      <c r="D20" s="146">
        <f>(7088-1196)/0.585274</f>
        <v>10067.07969258843</v>
      </c>
      <c r="E20" s="147">
        <f>12906+6782</f>
        <v>19688</v>
      </c>
      <c r="F20" s="148">
        <f t="shared" si="6"/>
        <v>95.56813496266122</v>
      </c>
      <c r="G20" s="149">
        <v>50220</v>
      </c>
      <c r="H20" s="150">
        <f t="shared" si="1"/>
        <v>0.3242053998081365</v>
      </c>
      <c r="I20" s="147">
        <v>53840</v>
      </c>
      <c r="J20" s="151" t="e">
        <f t="shared" si="5"/>
        <v>#DIV/0!</v>
      </c>
      <c r="K20" s="152">
        <f t="shared" si="7"/>
        <v>7.2082835523695765</v>
      </c>
      <c r="L20" s="153">
        <v>26700</v>
      </c>
      <c r="M20" s="154">
        <f t="shared" si="8"/>
        <v>-46.83393070489845</v>
      </c>
      <c r="N20" s="155">
        <f t="shared" si="4"/>
        <v>0.32849780724524363</v>
      </c>
    </row>
    <row r="21" spans="2:14" ht="16.5">
      <c r="B21" s="144" t="s">
        <v>11</v>
      </c>
      <c r="C21" s="145">
        <v>335601</v>
      </c>
      <c r="D21" s="146">
        <f>SUM(D22:D24)</f>
        <v>615767.9992618843</v>
      </c>
      <c r="E21" s="147">
        <f>SUM(E22:E24)</f>
        <v>683072</v>
      </c>
      <c r="F21" s="148">
        <f t="shared" si="6"/>
        <v>10.930090686556056</v>
      </c>
      <c r="G21" s="149">
        <f>SUM(G22:G24)</f>
        <v>3063679.78081719</v>
      </c>
      <c r="H21" s="150">
        <f t="shared" si="1"/>
        <v>19.778206456072105</v>
      </c>
      <c r="I21" s="147">
        <f>SUM(I22:I24)</f>
        <v>3163460</v>
      </c>
      <c r="J21" s="151" t="e">
        <f t="shared" si="5"/>
        <v>#DIV/0!</v>
      </c>
      <c r="K21" s="152">
        <f t="shared" si="7"/>
        <v>3.2568749452070556</v>
      </c>
      <c r="L21" s="153">
        <f>+L22+L23+L24</f>
        <v>1180500</v>
      </c>
      <c r="M21" s="154">
        <f t="shared" si="8"/>
        <v>-61.467905118820234</v>
      </c>
      <c r="N21" s="155">
        <f t="shared" si="4"/>
        <v>19.30144266916862</v>
      </c>
    </row>
    <row r="22" spans="2:14" ht="16.5">
      <c r="B22" s="144" t="s">
        <v>12</v>
      </c>
      <c r="C22" s="145">
        <v>88941</v>
      </c>
      <c r="D22" s="146">
        <f>(85639-1016)/0.585274</f>
        <v>144586.97977357614</v>
      </c>
      <c r="E22" s="147">
        <f>118973+32317</f>
        <v>151290</v>
      </c>
      <c r="F22" s="148">
        <f t="shared" si="6"/>
        <v>4.635977760183408</v>
      </c>
      <c r="G22" s="149">
        <v>620261.6210527036</v>
      </c>
      <c r="H22" s="150">
        <f t="shared" si="1"/>
        <v>4.004224747889977</v>
      </c>
      <c r="I22" s="159">
        <v>635700</v>
      </c>
      <c r="J22" s="151" t="e">
        <f t="shared" si="5"/>
        <v>#DIV/0!</v>
      </c>
      <c r="K22" s="152">
        <f t="shared" si="7"/>
        <v>2.4890108340242856</v>
      </c>
      <c r="L22" s="153">
        <v>347400</v>
      </c>
      <c r="M22" s="154">
        <f t="shared" si="8"/>
        <v>-43.99137586323732</v>
      </c>
      <c r="N22" s="155">
        <f t="shared" si="4"/>
        <v>3.878641457388585</v>
      </c>
    </row>
    <row r="23" spans="2:14" ht="16.5">
      <c r="B23" s="144" t="s">
        <v>13</v>
      </c>
      <c r="C23" s="145">
        <v>178000</v>
      </c>
      <c r="D23" s="146">
        <f>213790/0.585274</f>
        <v>365281.9021518127</v>
      </c>
      <c r="E23" s="147">
        <v>432351</v>
      </c>
      <c r="F23" s="148">
        <f t="shared" si="6"/>
        <v>18.36091453014639</v>
      </c>
      <c r="G23" s="149">
        <v>1599531.1597644866</v>
      </c>
      <c r="H23" s="150">
        <f t="shared" si="1"/>
        <v>10.326097952150889</v>
      </c>
      <c r="I23" s="159">
        <v>1721000</v>
      </c>
      <c r="J23" s="151" t="e">
        <f t="shared" si="5"/>
        <v>#DIV/0!</v>
      </c>
      <c r="K23" s="152">
        <f t="shared" si="7"/>
        <v>7.594027755820543</v>
      </c>
      <c r="L23" s="153">
        <f>685300-5000</f>
        <v>680300</v>
      </c>
      <c r="M23" s="154">
        <f t="shared" si="8"/>
        <v>-57.46878728513381</v>
      </c>
      <c r="N23" s="155">
        <f t="shared" si="4"/>
        <v>10.500459254626008</v>
      </c>
    </row>
    <row r="24" spans="2:14" ht="16.5">
      <c r="B24" s="144" t="s">
        <v>8</v>
      </c>
      <c r="C24" s="145">
        <f>335601-C23</f>
        <v>157601</v>
      </c>
      <c r="D24" s="146">
        <f>61980/0.585274</f>
        <v>105899.11733649539</v>
      </c>
      <c r="E24" s="147">
        <v>99431</v>
      </c>
      <c r="F24" s="148">
        <f t="shared" si="6"/>
        <v>-6.107810432397557</v>
      </c>
      <c r="G24" s="149">
        <f>3113900-2270013</f>
        <v>843887</v>
      </c>
      <c r="H24" s="150">
        <f t="shared" si="1"/>
        <v>5.44788375603124</v>
      </c>
      <c r="I24" s="159">
        <f>3217300-I22-I23-I20</f>
        <v>806760</v>
      </c>
      <c r="J24" s="151" t="e">
        <f t="shared" si="5"/>
        <v>#DIV/0!</v>
      </c>
      <c r="K24" s="152">
        <f t="shared" si="7"/>
        <v>-4.399522684909241</v>
      </c>
      <c r="L24" s="153">
        <v>152800</v>
      </c>
      <c r="M24" s="154">
        <f t="shared" si="8"/>
        <v>-81.89331036027335</v>
      </c>
      <c r="N24" s="155">
        <f t="shared" si="4"/>
        <v>4.922341957154026</v>
      </c>
    </row>
    <row r="25" spans="2:14" ht="16.5">
      <c r="B25" s="166"/>
      <c r="C25" s="167"/>
      <c r="D25" s="168"/>
      <c r="E25" s="169"/>
      <c r="F25" s="167"/>
      <c r="G25" s="149"/>
      <c r="H25" s="150"/>
      <c r="I25" s="170"/>
      <c r="J25" s="171"/>
      <c r="K25" s="172"/>
      <c r="L25" s="158"/>
      <c r="M25" s="158"/>
      <c r="N25" s="155"/>
    </row>
    <row r="26" spans="1:14" ht="16.5">
      <c r="A26" s="173" t="s">
        <v>51</v>
      </c>
      <c r="B26" s="144" t="s">
        <v>23</v>
      </c>
      <c r="C26" s="145">
        <v>150018</v>
      </c>
      <c r="D26" s="146">
        <f>112145/0.585274</f>
        <v>191611.10864313127</v>
      </c>
      <c r="E26" s="147">
        <v>203491</v>
      </c>
      <c r="F26" s="148">
        <f>(+E26/D26)*100-100</f>
        <v>6.200001367871934</v>
      </c>
      <c r="G26" s="149">
        <v>1247800</v>
      </c>
      <c r="H26" s="150">
        <f t="shared" si="1"/>
        <v>8.055426082847326</v>
      </c>
      <c r="I26" s="159">
        <v>1338600</v>
      </c>
      <c r="J26" s="151" t="e">
        <f>+I26/1000/$K$59*100</f>
        <v>#DIV/0!</v>
      </c>
      <c r="K26" s="152">
        <f>(+I26/G26-1)*100</f>
        <v>7.276807180637923</v>
      </c>
      <c r="L26" s="153">
        <v>436800</v>
      </c>
      <c r="M26" s="154">
        <f>(L26/G26-1)*100</f>
        <v>-64.99439012662286</v>
      </c>
      <c r="N26" s="155">
        <f>+I26/1000/$I$59*100</f>
        <v>8.167295036747458</v>
      </c>
    </row>
    <row r="27" spans="1:14" ht="16.5">
      <c r="A27" s="93" t="s">
        <v>49</v>
      </c>
      <c r="B27" s="144" t="s">
        <v>14</v>
      </c>
      <c r="C27" s="145">
        <v>125938</v>
      </c>
      <c r="D27" s="146">
        <f>(50048+26871+92)/0.585274</f>
        <v>131581.1056018207</v>
      </c>
      <c r="E27" s="147">
        <f>47298+118+91740</f>
        <v>139156</v>
      </c>
      <c r="F27" s="148">
        <f>(+E27/D27)*100-100</f>
        <v>5.7568253158639635</v>
      </c>
      <c r="G27" s="149">
        <v>754500</v>
      </c>
      <c r="H27" s="150">
        <f t="shared" si="1"/>
        <v>4.870827840606113</v>
      </c>
      <c r="I27" s="159">
        <v>692900</v>
      </c>
      <c r="J27" s="151" t="e">
        <f>+I27/1000/$K$59*100</f>
        <v>#DIV/0!</v>
      </c>
      <c r="K27" s="152">
        <f>(+I27/G27-1)*100</f>
        <v>-8.164347249834325</v>
      </c>
      <c r="L27" s="153">
        <v>382000</v>
      </c>
      <c r="M27" s="154">
        <f>(L27/G27-1)*100</f>
        <v>-49.37044400265076</v>
      </c>
      <c r="N27" s="155">
        <f>+I27/1000/$I$59*100</f>
        <v>4.227639870732342</v>
      </c>
    </row>
    <row r="28" spans="2:14" ht="16.5">
      <c r="B28" s="144" t="s">
        <v>15</v>
      </c>
      <c r="C28" s="145">
        <v>355</v>
      </c>
      <c r="D28" s="146">
        <v>0</v>
      </c>
      <c r="E28" s="147">
        <v>0</v>
      </c>
      <c r="F28" s="148">
        <v>0</v>
      </c>
      <c r="G28" s="149">
        <v>11500</v>
      </c>
      <c r="H28" s="150">
        <f t="shared" si="1"/>
        <v>0.07424058338895997</v>
      </c>
      <c r="I28" s="159">
        <v>0</v>
      </c>
      <c r="J28" s="151" t="e">
        <f>+I28/1000/$K$59*100</f>
        <v>#DIV/0!</v>
      </c>
      <c r="K28" s="152">
        <f>(+I28/G28-1)*100</f>
        <v>-100</v>
      </c>
      <c r="L28" s="153" t="e">
        <f>I28/(1+K28/100)*(1+F28/100)</f>
        <v>#DIV/0!</v>
      </c>
      <c r="M28" s="154"/>
      <c r="N28" s="155">
        <f>+I28/1000/$I$59*100</f>
        <v>0</v>
      </c>
    </row>
    <row r="29" spans="2:14" ht="16.5">
      <c r="B29" s="144" t="s">
        <v>39</v>
      </c>
      <c r="C29" s="145">
        <v>567</v>
      </c>
      <c r="D29" s="146">
        <f>3179/0.585274</f>
        <v>5431.643982134864</v>
      </c>
      <c r="E29" s="147">
        <v>5420</v>
      </c>
      <c r="F29" s="148">
        <f>(+E29/D29)*100-100</f>
        <v>-0.2143730732935012</v>
      </c>
      <c r="G29" s="149">
        <v>0</v>
      </c>
      <c r="H29" s="150">
        <f t="shared" si="1"/>
        <v>0</v>
      </c>
      <c r="I29" s="147">
        <v>0</v>
      </c>
      <c r="J29" s="151" t="e">
        <f>+I29/1000/$K$59*100</f>
        <v>#DIV/0!</v>
      </c>
      <c r="K29" s="152"/>
      <c r="L29" s="153">
        <v>95000</v>
      </c>
      <c r="M29" s="154" t="e">
        <f>(L29/G29-1)*100</f>
        <v>#DIV/0!</v>
      </c>
      <c r="N29" s="155">
        <f>+I29/1000/$I$59*100</f>
        <v>0</v>
      </c>
    </row>
    <row r="30" spans="2:14" ht="16.5">
      <c r="B30" s="166"/>
      <c r="C30" s="167"/>
      <c r="D30" s="168"/>
      <c r="E30" s="169"/>
      <c r="F30" s="167"/>
      <c r="G30" s="149">
        <v>0</v>
      </c>
      <c r="H30" s="150"/>
      <c r="I30" s="169"/>
      <c r="J30" s="171"/>
      <c r="K30" s="172"/>
      <c r="L30" s="158"/>
      <c r="M30" s="158"/>
      <c r="N30" s="155"/>
    </row>
    <row r="31" spans="2:14" ht="16.5">
      <c r="B31" s="144" t="s">
        <v>36</v>
      </c>
      <c r="C31" s="156">
        <f>+C33+C47</f>
        <v>1016432</v>
      </c>
      <c r="D31" s="146">
        <f>+D33+D47</f>
        <v>1295412.0354500627</v>
      </c>
      <c r="E31" s="147">
        <f>+E33+E47</f>
        <v>1393865</v>
      </c>
      <c r="F31" s="174">
        <f>(+E31/D31)*100-100</f>
        <v>7.6001273614639615</v>
      </c>
      <c r="G31" s="149">
        <f>+G33+G47</f>
        <v>6798200.374990176</v>
      </c>
      <c r="H31" s="150">
        <f t="shared" si="1"/>
        <v>43.88716189863627</v>
      </c>
      <c r="I31" s="147">
        <f>+I33+I47</f>
        <v>7281899.805680758</v>
      </c>
      <c r="J31" s="151" t="e">
        <f>+I31/1000/$K$59*100</f>
        <v>#DIV/0!</v>
      </c>
      <c r="K31" s="152">
        <f>(+I31/G31-1)*100</f>
        <v>7.115109941008191</v>
      </c>
      <c r="L31" s="153">
        <f>+L33</f>
        <v>3115750</v>
      </c>
      <c r="M31" s="154">
        <f>(L31/G31-1)*100</f>
        <v>-54.16801759091277</v>
      </c>
      <c r="N31" s="155">
        <f>+I31/1000/$I$59*100</f>
        <v>44.429571299139944</v>
      </c>
    </row>
    <row r="32" spans="2:14" ht="16.5">
      <c r="B32" s="144"/>
      <c r="C32" s="164"/>
      <c r="D32" s="161"/>
      <c r="E32" s="162"/>
      <c r="F32" s="174"/>
      <c r="G32" s="149"/>
      <c r="H32" s="150"/>
      <c r="I32" s="162"/>
      <c r="J32" s="175"/>
      <c r="K32" s="152"/>
      <c r="L32" s="158"/>
      <c r="M32" s="154"/>
      <c r="N32" s="155"/>
    </row>
    <row r="33" spans="2:14" ht="16.5">
      <c r="B33" s="144" t="s">
        <v>37</v>
      </c>
      <c r="C33" s="145">
        <f>+C34+C44</f>
        <v>1008790</v>
      </c>
      <c r="D33" s="146">
        <f>+D34+D44</f>
        <v>1295412.0354500627</v>
      </c>
      <c r="E33" s="147">
        <f>+E34+E44</f>
        <v>1393865</v>
      </c>
      <c r="F33" s="174">
        <f aca="true" t="shared" si="9" ref="F33:F45">(+E33/D33)*100-100</f>
        <v>7.6001273614639615</v>
      </c>
      <c r="G33" s="149">
        <f>+G34+G44</f>
        <v>6798200.374990176</v>
      </c>
      <c r="H33" s="150">
        <f t="shared" si="1"/>
        <v>43.88716189863627</v>
      </c>
      <c r="I33" s="147">
        <f>+I34+I44</f>
        <v>7281899.805680758</v>
      </c>
      <c r="J33" s="151" t="e">
        <f aca="true" t="shared" si="10" ref="J33:J46">+I33/1000/$K$59*100</f>
        <v>#DIV/0!</v>
      </c>
      <c r="K33" s="152">
        <f aca="true" t="shared" si="11" ref="K33:K46">(+I33/G33-1)*100</f>
        <v>7.115109941008191</v>
      </c>
      <c r="L33" s="153">
        <f>+L34+L44</f>
        <v>3115750</v>
      </c>
      <c r="M33" s="154">
        <f aca="true" t="shared" si="12" ref="M33:M45">(L33/G33-1)*100</f>
        <v>-54.16801759091277</v>
      </c>
      <c r="N33" s="155">
        <f aca="true" t="shared" si="13" ref="N33:N47">+I33/1000/$I$59*100</f>
        <v>44.429571299139944</v>
      </c>
    </row>
    <row r="34" spans="2:14" ht="16.5">
      <c r="B34" s="144" t="s">
        <v>34</v>
      </c>
      <c r="C34" s="145">
        <f>SUM(C35:C43)</f>
        <v>937943</v>
      </c>
      <c r="D34" s="146">
        <f>SUM(D35:D43)</f>
        <v>1253648.6904185049</v>
      </c>
      <c r="E34" s="147">
        <f>SUM(E35:E43)</f>
        <v>1357447</v>
      </c>
      <c r="F34" s="174">
        <f t="shared" si="9"/>
        <v>8.27969672642854</v>
      </c>
      <c r="G34" s="149">
        <f>SUM(G35:G43)</f>
        <v>6205300.374990176</v>
      </c>
      <c r="H34" s="150">
        <f t="shared" si="1"/>
        <v>40.059575647217635</v>
      </c>
      <c r="I34" s="147">
        <f>SUM(I35:I43)</f>
        <v>6711799.805680758</v>
      </c>
      <c r="J34" s="151" t="e">
        <f t="shared" si="10"/>
        <v>#DIV/0!</v>
      </c>
      <c r="K34" s="152">
        <f t="shared" si="11"/>
        <v>8.16236765478713</v>
      </c>
      <c r="L34" s="153">
        <f>SUM(L35:L43)</f>
        <v>2894990</v>
      </c>
      <c r="M34" s="154">
        <f t="shared" si="12"/>
        <v>-53.346496945289566</v>
      </c>
      <c r="N34" s="155">
        <f t="shared" si="13"/>
        <v>40.951179770341405</v>
      </c>
    </row>
    <row r="35" spans="2:14" ht="16.5">
      <c r="B35" s="133" t="s">
        <v>17</v>
      </c>
      <c r="C35" s="160">
        <v>269354</v>
      </c>
      <c r="D35" s="161">
        <f>209261/0.585274</f>
        <v>357543.64622382</v>
      </c>
      <c r="E35" s="162">
        <v>383412</v>
      </c>
      <c r="F35" s="176">
        <f t="shared" si="9"/>
        <v>7.235019849852577</v>
      </c>
      <c r="G35" s="149">
        <v>2256200</v>
      </c>
      <c r="H35" s="150">
        <f t="shared" si="1"/>
        <v>14.565356890623606</v>
      </c>
      <c r="I35" s="162">
        <v>2434400</v>
      </c>
      <c r="J35" s="151" t="e">
        <f t="shared" si="10"/>
        <v>#DIV/0!</v>
      </c>
      <c r="K35" s="152">
        <f t="shared" si="11"/>
        <v>7.89823597198831</v>
      </c>
      <c r="L35" s="177">
        <v>820700</v>
      </c>
      <c r="M35" s="154">
        <f t="shared" si="12"/>
        <v>-63.624678663239074</v>
      </c>
      <c r="N35" s="155">
        <f t="shared" si="13"/>
        <v>14.85317722804274</v>
      </c>
    </row>
    <row r="36" spans="1:14" ht="16.5">
      <c r="A36" s="93" t="s">
        <v>54</v>
      </c>
      <c r="B36" s="133" t="s">
        <v>18</v>
      </c>
      <c r="C36" s="160">
        <v>76954</v>
      </c>
      <c r="D36" s="161">
        <f>91374+22-341-1366-1845-274-1-5531-39-240-215-2666-1164</f>
        <v>77714</v>
      </c>
      <c r="E36" s="162">
        <f>88392+19-705-2190-893-76-190-186-381</f>
        <v>83790</v>
      </c>
      <c r="F36" s="176">
        <f t="shared" si="9"/>
        <v>7.818411097099613</v>
      </c>
      <c r="G36" s="149">
        <v>788500</v>
      </c>
      <c r="H36" s="150">
        <f t="shared" si="1"/>
        <v>5.090321739321299</v>
      </c>
      <c r="I36" s="178">
        <v>847600</v>
      </c>
      <c r="J36" s="151" t="e">
        <f t="shared" si="10"/>
        <v>#DIV/0!</v>
      </c>
      <c r="K36" s="152">
        <f t="shared" si="11"/>
        <v>7.495244134432477</v>
      </c>
      <c r="L36" s="177">
        <v>207290</v>
      </c>
      <c r="M36" s="154">
        <f t="shared" si="12"/>
        <v>-73.71084337349399</v>
      </c>
      <c r="N36" s="155">
        <f t="shared" si="13"/>
        <v>5.171521943184779</v>
      </c>
    </row>
    <row r="37" spans="2:14" ht="16.5">
      <c r="B37" s="133" t="s">
        <v>19</v>
      </c>
      <c r="C37" s="160">
        <v>15523</v>
      </c>
      <c r="D37" s="161">
        <f>3731/0.585274</f>
        <v>6374.791977774513</v>
      </c>
      <c r="E37" s="162">
        <v>8619</v>
      </c>
      <c r="F37" s="176">
        <f t="shared" si="9"/>
        <v>35.20441184668991</v>
      </c>
      <c r="G37" s="149">
        <v>65500</v>
      </c>
      <c r="H37" s="150">
        <f t="shared" si="1"/>
        <v>0.42284854017190243</v>
      </c>
      <c r="I37" s="178">
        <v>70000</v>
      </c>
      <c r="J37" s="151" t="e">
        <f t="shared" si="10"/>
        <v>#DIV/0!</v>
      </c>
      <c r="K37" s="152">
        <f t="shared" si="11"/>
        <v>6.870229007633588</v>
      </c>
      <c r="L37" s="177">
        <v>50000</v>
      </c>
      <c r="M37" s="154">
        <f t="shared" si="12"/>
        <v>-23.664122137404576</v>
      </c>
      <c r="N37" s="155">
        <f t="shared" si="13"/>
        <v>0.4270959603857179</v>
      </c>
    </row>
    <row r="38" spans="2:14" ht="16.5">
      <c r="B38" s="133" t="s">
        <v>20</v>
      </c>
      <c r="C38" s="160">
        <v>155726</v>
      </c>
      <c r="D38" s="161">
        <f>97792/0.585274</f>
        <v>167087.552155059</v>
      </c>
      <c r="E38" s="162">
        <v>174622</v>
      </c>
      <c r="F38" s="176">
        <f t="shared" si="9"/>
        <v>4.5092813604384645</v>
      </c>
      <c r="G38" s="149">
        <v>502800</v>
      </c>
      <c r="H38" s="150">
        <f t="shared" si="1"/>
        <v>3.2459274198233983</v>
      </c>
      <c r="I38" s="162">
        <v>499100</v>
      </c>
      <c r="J38" s="151" t="e">
        <f t="shared" si="10"/>
        <v>#DIV/0!</v>
      </c>
      <c r="K38" s="152">
        <f t="shared" si="11"/>
        <v>-0.7358790771678558</v>
      </c>
      <c r="L38" s="177">
        <v>382000</v>
      </c>
      <c r="M38" s="154">
        <f t="shared" si="12"/>
        <v>-24.025457438345267</v>
      </c>
      <c r="N38" s="155">
        <f t="shared" si="13"/>
        <v>3.045194197550169</v>
      </c>
    </row>
    <row r="39" spans="2:14" ht="16.5">
      <c r="B39" s="133" t="s">
        <v>21</v>
      </c>
      <c r="C39" s="179">
        <v>146560</v>
      </c>
      <c r="D39" s="180">
        <f>(103017+476+4108)/0.585274</f>
        <v>183847.2236935179</v>
      </c>
      <c r="E39" s="181">
        <f>197360+728+6478</f>
        <v>204566</v>
      </c>
      <c r="F39" s="176">
        <f t="shared" si="9"/>
        <v>11.269561699240711</v>
      </c>
      <c r="G39" s="149">
        <v>1872400</v>
      </c>
      <c r="H39" s="150">
        <f t="shared" si="1"/>
        <v>12.087658116303361</v>
      </c>
      <c r="I39" s="181">
        <v>2003500</v>
      </c>
      <c r="J39" s="151" t="e">
        <f t="shared" si="10"/>
        <v>#DIV/0!</v>
      </c>
      <c r="K39" s="152">
        <f t="shared" si="11"/>
        <v>7.001709036530657</v>
      </c>
      <c r="L39" s="177">
        <v>492460</v>
      </c>
      <c r="M39" s="154">
        <f t="shared" si="12"/>
        <v>-73.69899594103823</v>
      </c>
      <c r="N39" s="155">
        <f t="shared" si="13"/>
        <v>12.224096523325514</v>
      </c>
    </row>
    <row r="40" spans="1:14" ht="16.5">
      <c r="A40" s="93" t="s">
        <v>41</v>
      </c>
      <c r="B40" s="133" t="s">
        <v>24</v>
      </c>
      <c r="C40" s="179">
        <v>56713</v>
      </c>
      <c r="D40" s="180">
        <f>(42+11979+32848)/0.585274</f>
        <v>76663.23807310764</v>
      </c>
      <c r="E40" s="181">
        <f>322+11764+61309</f>
        <v>73395</v>
      </c>
      <c r="F40" s="176">
        <f t="shared" si="9"/>
        <v>-4.263109875415111</v>
      </c>
      <c r="G40" s="149">
        <f>197220/0.585274</f>
        <v>336970.3762682094</v>
      </c>
      <c r="H40" s="150">
        <f t="shared" si="1"/>
        <v>2.1753806364303667</v>
      </c>
      <c r="I40" s="182">
        <f>198200/0.585274</f>
        <v>338644.8056807581</v>
      </c>
      <c r="J40" s="151" t="e">
        <f t="shared" si="10"/>
        <v>#DIV/0!</v>
      </c>
      <c r="K40" s="152">
        <f t="shared" si="11"/>
        <v>0.4969070074029025</v>
      </c>
      <c r="L40" s="177">
        <v>160000</v>
      </c>
      <c r="M40" s="154">
        <f t="shared" si="12"/>
        <v>-52.51808133049387</v>
      </c>
      <c r="N40" s="155">
        <f t="shared" si="13"/>
        <v>2.066197550169403</v>
      </c>
    </row>
    <row r="41" spans="1:14" ht="16.5">
      <c r="A41" s="183" t="s">
        <v>42</v>
      </c>
      <c r="B41" s="133" t="s">
        <v>25</v>
      </c>
      <c r="C41" s="179">
        <v>12501</v>
      </c>
      <c r="D41" s="180">
        <f>7202/0.585274</f>
        <v>12305.34758079122</v>
      </c>
      <c r="E41" s="181">
        <v>12430</v>
      </c>
      <c r="F41" s="176">
        <f t="shared" si="9"/>
        <v>1.012993890585932</v>
      </c>
      <c r="G41" s="149">
        <v>52301.99872196613</v>
      </c>
      <c r="H41" s="150">
        <f t="shared" si="1"/>
        <v>0.337646165002383</v>
      </c>
      <c r="I41" s="181">
        <v>54660</v>
      </c>
      <c r="J41" s="151" t="e">
        <f t="shared" si="10"/>
        <v>#DIV/0!</v>
      </c>
      <c r="K41" s="152">
        <f t="shared" si="11"/>
        <v>4.508434353663704</v>
      </c>
      <c r="L41" s="177">
        <v>19720</v>
      </c>
      <c r="M41" s="154">
        <f t="shared" si="12"/>
        <v>-62.2958959851034</v>
      </c>
      <c r="N41" s="155">
        <f t="shared" si="13"/>
        <v>0.33350093135261916</v>
      </c>
    </row>
    <row r="42" spans="1:14" ht="16.5">
      <c r="A42" s="93" t="s">
        <v>44</v>
      </c>
      <c r="B42" s="133" t="s">
        <v>26</v>
      </c>
      <c r="C42" s="184">
        <v>140242</v>
      </c>
      <c r="D42" s="180">
        <f>200911/0.585274</f>
        <v>343276.82418832893</v>
      </c>
      <c r="E42" s="181">
        <f>170035+214418+108042-E40-E41</f>
        <v>406670</v>
      </c>
      <c r="F42" s="176">
        <f t="shared" si="9"/>
        <v>18.467071280318123</v>
      </c>
      <c r="G42" s="149">
        <f>6798200-6467572</f>
        <v>330628</v>
      </c>
      <c r="H42" s="150">
        <f t="shared" si="1"/>
        <v>2.134436139541309</v>
      </c>
      <c r="I42" s="182">
        <f>7281900-6818005</f>
        <v>463895</v>
      </c>
      <c r="J42" s="151" t="e">
        <f t="shared" si="10"/>
        <v>#DIV/0!</v>
      </c>
      <c r="K42" s="152">
        <f t="shared" si="11"/>
        <v>40.30723350714398</v>
      </c>
      <c r="L42" s="177">
        <f>857820-L40</f>
        <v>697820</v>
      </c>
      <c r="M42" s="154">
        <f t="shared" si="12"/>
        <v>111.05895447451518</v>
      </c>
      <c r="N42" s="155">
        <f t="shared" si="13"/>
        <v>2.830395436330466</v>
      </c>
    </row>
    <row r="43" spans="1:14" ht="16.5">
      <c r="A43" s="183" t="s">
        <v>53</v>
      </c>
      <c r="B43" s="166" t="s">
        <v>27</v>
      </c>
      <c r="C43" s="184">
        <v>64370</v>
      </c>
      <c r="D43" s="180">
        <f>(10111+6766)/0.585274</f>
        <v>28836.066526105722</v>
      </c>
      <c r="E43" s="181">
        <f>9137+806</f>
        <v>9943</v>
      </c>
      <c r="F43" s="176">
        <f t="shared" si="9"/>
        <v>-65.5188754992001</v>
      </c>
      <c r="G43" s="149">
        <v>0</v>
      </c>
      <c r="H43" s="150">
        <f t="shared" si="1"/>
        <v>0</v>
      </c>
      <c r="I43" s="181">
        <v>0</v>
      </c>
      <c r="J43" s="151" t="e">
        <f t="shared" si="10"/>
        <v>#DIV/0!</v>
      </c>
      <c r="K43" s="152" t="e">
        <f t="shared" si="11"/>
        <v>#DIV/0!</v>
      </c>
      <c r="L43" s="177">
        <v>65000</v>
      </c>
      <c r="M43" s="154" t="e">
        <f t="shared" si="12"/>
        <v>#DIV/0!</v>
      </c>
      <c r="N43" s="155">
        <f t="shared" si="13"/>
        <v>0</v>
      </c>
    </row>
    <row r="44" spans="2:14" ht="16.5">
      <c r="B44" s="144" t="s">
        <v>35</v>
      </c>
      <c r="C44" s="185">
        <f>+C45+C46</f>
        <v>70847</v>
      </c>
      <c r="D44" s="186">
        <f>+D45+D46</f>
        <v>41763.345031557874</v>
      </c>
      <c r="E44" s="187">
        <f>+E45+E46</f>
        <v>36418</v>
      </c>
      <c r="F44" s="174">
        <f t="shared" si="9"/>
        <v>-12.799130499529525</v>
      </c>
      <c r="G44" s="149">
        <f>+G45+G46</f>
        <v>592900</v>
      </c>
      <c r="H44" s="150">
        <f t="shared" si="1"/>
        <v>3.8275862514186403</v>
      </c>
      <c r="I44" s="187">
        <f>+I45+I46</f>
        <v>570100</v>
      </c>
      <c r="J44" s="151" t="e">
        <f t="shared" si="10"/>
        <v>#DIV/0!</v>
      </c>
      <c r="K44" s="152">
        <f t="shared" si="11"/>
        <v>-3.8455051442064403</v>
      </c>
      <c r="L44" s="153">
        <f>+L45+L46</f>
        <v>220760</v>
      </c>
      <c r="M44" s="154">
        <f t="shared" si="12"/>
        <v>-62.76606510372744</v>
      </c>
      <c r="N44" s="155">
        <f t="shared" si="13"/>
        <v>3.4783915287985403</v>
      </c>
    </row>
    <row r="45" spans="1:14" ht="16.5">
      <c r="A45" s="173">
        <v>31</v>
      </c>
      <c r="B45" s="133" t="s">
        <v>28</v>
      </c>
      <c r="C45" s="184">
        <v>53202</v>
      </c>
      <c r="D45" s="180">
        <f>24443/0.585274</f>
        <v>41763.345031557874</v>
      </c>
      <c r="E45" s="181">
        <f>40935-24-182-4-58-1110-515-2050-559-15</f>
        <v>36418</v>
      </c>
      <c r="F45" s="176">
        <f t="shared" si="9"/>
        <v>-12.799130499529525</v>
      </c>
      <c r="G45" s="149">
        <v>476600</v>
      </c>
      <c r="H45" s="150">
        <f t="shared" si="1"/>
        <v>3.076788003754637</v>
      </c>
      <c r="I45" s="181">
        <v>505200</v>
      </c>
      <c r="J45" s="151" t="e">
        <f t="shared" si="10"/>
        <v>#DIV/0!</v>
      </c>
      <c r="K45" s="152">
        <f t="shared" si="11"/>
        <v>6.0008392782207265</v>
      </c>
      <c r="L45" s="177">
        <v>220760</v>
      </c>
      <c r="M45" s="154">
        <f t="shared" si="12"/>
        <v>-53.6802349979018</v>
      </c>
      <c r="N45" s="155">
        <f t="shared" si="13"/>
        <v>3.0824125598123526</v>
      </c>
    </row>
    <row r="46" spans="2:14" ht="16.5">
      <c r="B46" s="133" t="s">
        <v>29</v>
      </c>
      <c r="C46" s="184">
        <f>11749+5896</f>
        <v>17645</v>
      </c>
      <c r="D46" s="180">
        <v>0</v>
      </c>
      <c r="E46" s="181">
        <v>0</v>
      </c>
      <c r="F46" s="176">
        <v>0</v>
      </c>
      <c r="G46" s="149">
        <v>116300</v>
      </c>
      <c r="H46" s="150">
        <f t="shared" si="1"/>
        <v>0.7507982476640039</v>
      </c>
      <c r="I46" s="181">
        <v>64900</v>
      </c>
      <c r="J46" s="151" t="e">
        <f t="shared" si="10"/>
        <v>#DIV/0!</v>
      </c>
      <c r="K46" s="152">
        <f t="shared" si="11"/>
        <v>-44.196044711951856</v>
      </c>
      <c r="L46" s="177">
        <v>0</v>
      </c>
      <c r="M46" s="189">
        <v>0</v>
      </c>
      <c r="N46" s="155">
        <f t="shared" si="13"/>
        <v>0.39597896898618706</v>
      </c>
    </row>
    <row r="47" spans="2:14" ht="16.5">
      <c r="B47" s="144" t="s">
        <v>30</v>
      </c>
      <c r="C47" s="185">
        <v>7642</v>
      </c>
      <c r="D47" s="186">
        <v>0</v>
      </c>
      <c r="E47" s="187">
        <v>0</v>
      </c>
      <c r="F47" s="174"/>
      <c r="G47" s="149">
        <v>0</v>
      </c>
      <c r="H47" s="150">
        <f t="shared" si="1"/>
        <v>0</v>
      </c>
      <c r="I47" s="187">
        <v>0</v>
      </c>
      <c r="J47" s="175"/>
      <c r="K47" s="188"/>
      <c r="L47" s="158"/>
      <c r="M47" s="158"/>
      <c r="N47" s="155">
        <f t="shared" si="13"/>
        <v>0</v>
      </c>
    </row>
    <row r="48" spans="2:14" ht="16.5">
      <c r="B48" s="166"/>
      <c r="C48" s="184"/>
      <c r="D48" s="168"/>
      <c r="E48" s="169"/>
      <c r="F48" s="167"/>
      <c r="G48" s="149"/>
      <c r="H48" s="150"/>
      <c r="I48" s="169"/>
      <c r="J48" s="190"/>
      <c r="K48" s="172"/>
      <c r="L48" s="158"/>
      <c r="M48" s="158"/>
      <c r="N48" s="155"/>
    </row>
    <row r="49" spans="2:14" ht="16.5">
      <c r="B49" s="144" t="s">
        <v>31</v>
      </c>
      <c r="C49" s="185">
        <f>+C13+C29-C34</f>
        <v>-22531</v>
      </c>
      <c r="D49" s="186">
        <f>+D13+D29-D34</f>
        <v>163641.33100735722</v>
      </c>
      <c r="E49" s="187">
        <f>+E13+E29-E34</f>
        <v>136509</v>
      </c>
      <c r="F49" s="174"/>
      <c r="G49" s="149">
        <f>+G13+G29-G34</f>
        <v>1086899.4058270138</v>
      </c>
      <c r="H49" s="150">
        <f t="shared" si="1"/>
        <v>7.016699649887954</v>
      </c>
      <c r="I49" s="187">
        <f>+I13+I29-I34</f>
        <v>732600.1943192417</v>
      </c>
      <c r="J49" s="151" t="e">
        <f>+I49/1000/$K$59*100</f>
        <v>#DIV/0!</v>
      </c>
      <c r="K49" s="152">
        <f>(+I49/G49-1)*100</f>
        <v>-32.59724033414007</v>
      </c>
      <c r="L49" s="153">
        <f>+L13+L29-L34</f>
        <v>24210</v>
      </c>
      <c r="M49" s="158"/>
      <c r="N49" s="155">
        <f>+I49/1000/$I$59*100</f>
        <v>4.46986547959343</v>
      </c>
    </row>
    <row r="50" spans="2:14" ht="16.5">
      <c r="B50" s="144"/>
      <c r="C50" s="191"/>
      <c r="D50" s="192"/>
      <c r="E50" s="193"/>
      <c r="F50" s="167"/>
      <c r="G50" s="149"/>
      <c r="H50" s="150"/>
      <c r="I50" s="193"/>
      <c r="J50" s="194"/>
      <c r="K50" s="172"/>
      <c r="L50" s="195"/>
      <c r="M50" s="158"/>
      <c r="N50" s="155"/>
    </row>
    <row r="51" spans="2:14" ht="16.5">
      <c r="B51" s="144" t="s">
        <v>32</v>
      </c>
      <c r="C51" s="185">
        <f>+C10-C31</f>
        <v>-100665</v>
      </c>
      <c r="D51" s="186">
        <f>+D10-D31</f>
        <v>121877.98597579938</v>
      </c>
      <c r="E51" s="187">
        <f>+E10-E31</f>
        <v>100091</v>
      </c>
      <c r="F51" s="167"/>
      <c r="G51" s="149">
        <f>+G10-G31</f>
        <v>505499.4058270138</v>
      </c>
      <c r="H51" s="150">
        <f t="shared" si="1"/>
        <v>3.2633539818582724</v>
      </c>
      <c r="I51" s="187">
        <f>+I10-I31</f>
        <v>162500.19431924168</v>
      </c>
      <c r="J51" s="151" t="e">
        <f>+I51/1000/$K$59*100</f>
        <v>#DIV/0!</v>
      </c>
      <c r="K51" s="172"/>
      <c r="L51" s="153" t="e">
        <f>+L10-L31</f>
        <v>#DIV/0!</v>
      </c>
      <c r="M51" s="158"/>
      <c r="N51" s="155">
        <f>+I51/1000/$I$59*100</f>
        <v>0.9914739507948901</v>
      </c>
    </row>
    <row r="52" spans="2:14" ht="16.5">
      <c r="B52" s="144" t="s">
        <v>22</v>
      </c>
      <c r="C52" s="196">
        <f>+C51/1000/C59*100</f>
        <v>-1.6339068333062816</v>
      </c>
      <c r="D52" s="197">
        <f>+D51/1000/D59*100</f>
        <v>0.7868070520445145</v>
      </c>
      <c r="E52" s="198">
        <f>+E51/1000/E59*100</f>
        <v>0.6106923110138127</v>
      </c>
      <c r="F52" s="196"/>
      <c r="G52" s="199">
        <f>+G51/1000/G59*100</f>
        <v>3.2633539818582724</v>
      </c>
      <c r="H52" s="200"/>
      <c r="I52" s="198">
        <f>+I51/1000/I59*100</f>
        <v>0.9914739507948901</v>
      </c>
      <c r="J52" s="151"/>
      <c r="K52" s="172"/>
      <c r="L52" s="154" t="e">
        <f>+L51/1000/M59*100</f>
        <v>#DIV/0!</v>
      </c>
      <c r="M52" s="158"/>
      <c r="N52" s="143"/>
    </row>
    <row r="53" spans="2:14" ht="16.5">
      <c r="B53" s="144"/>
      <c r="C53" s="191"/>
      <c r="D53" s="201"/>
      <c r="E53" s="202"/>
      <c r="F53" s="167"/>
      <c r="G53" s="149"/>
      <c r="H53" s="203"/>
      <c r="I53" s="202"/>
      <c r="J53" s="190"/>
      <c r="K53" s="172"/>
      <c r="L53" s="157"/>
      <c r="M53" s="158"/>
      <c r="N53" s="143"/>
    </row>
    <row r="54" spans="2:14" ht="16.5">
      <c r="B54" s="144" t="s">
        <v>33</v>
      </c>
      <c r="C54" s="204">
        <f>+C51+C38</f>
        <v>55061</v>
      </c>
      <c r="D54" s="192">
        <f>+D51+D38</f>
        <v>288965.5381308584</v>
      </c>
      <c r="E54" s="193">
        <f>+E51+E38</f>
        <v>274713</v>
      </c>
      <c r="F54" s="167"/>
      <c r="G54" s="149">
        <v>1051058.1368726443</v>
      </c>
      <c r="H54" s="205"/>
      <c r="I54" s="193">
        <f>+I51+I38</f>
        <v>661600.1943192417</v>
      </c>
      <c r="J54" s="206"/>
      <c r="K54" s="172"/>
      <c r="L54" s="195" t="e">
        <f>+L51+L38</f>
        <v>#DIV/0!</v>
      </c>
      <c r="M54" s="158"/>
      <c r="N54" s="143"/>
    </row>
    <row r="55" spans="2:14" ht="17.25" thickBot="1">
      <c r="B55" s="207"/>
      <c r="C55" s="171"/>
      <c r="D55" s="208"/>
      <c r="E55" s="209"/>
      <c r="F55" s="171"/>
      <c r="G55" s="210"/>
      <c r="H55" s="211"/>
      <c r="I55" s="212"/>
      <c r="J55" s="213"/>
      <c r="K55" s="214"/>
      <c r="L55" s="215"/>
      <c r="M55" s="215"/>
      <c r="N55" s="216"/>
    </row>
    <row r="56" spans="2:11" ht="17.25" thickTop="1">
      <c r="B56" s="217"/>
      <c r="C56" s="218"/>
      <c r="D56" s="217"/>
      <c r="E56" s="217"/>
      <c r="F56" s="217"/>
      <c r="G56" s="217"/>
      <c r="H56" s="219"/>
      <c r="I56" s="217"/>
      <c r="J56" s="217"/>
      <c r="K56" s="219"/>
    </row>
    <row r="57" spans="2:4" ht="16.5">
      <c r="B57" s="220" t="s">
        <v>40</v>
      </c>
      <c r="D57" s="221"/>
    </row>
    <row r="58" spans="2:4" ht="16.5">
      <c r="B58" s="99"/>
      <c r="D58" s="221"/>
    </row>
    <row r="59" spans="2:14" ht="16.5">
      <c r="B59" s="220" t="s">
        <v>62</v>
      </c>
      <c r="C59" s="222">
        <v>6161</v>
      </c>
      <c r="D59" s="223">
        <v>15490.2</v>
      </c>
      <c r="E59" s="223">
        <f>9592.5/0.585274</f>
        <v>16389.75932640097</v>
      </c>
      <c r="F59" s="223"/>
      <c r="G59" s="223">
        <v>15490.18</v>
      </c>
      <c r="H59" s="224"/>
      <c r="I59" s="223">
        <f>9592.5/0.585274</f>
        <v>16389.75932640097</v>
      </c>
      <c r="J59" s="225">
        <v>8260.3</v>
      </c>
      <c r="K59" s="226"/>
      <c r="L59" s="226"/>
      <c r="M59" s="226"/>
      <c r="N59" s="224"/>
    </row>
    <row r="60" ht="16.5">
      <c r="B60" s="99"/>
    </row>
    <row r="61" ht="16.5">
      <c r="B61" s="220"/>
    </row>
    <row r="63" ht="18" customHeight="1">
      <c r="B63" s="222"/>
    </row>
    <row r="64" ht="18" customHeight="1"/>
    <row r="65" ht="18" customHeight="1"/>
    <row r="66" ht="18" customHeight="1"/>
    <row r="67" ht="18" customHeight="1"/>
  </sheetData>
  <mergeCells count="2">
    <mergeCell ref="I4:N4"/>
    <mergeCell ref="B1:N1"/>
  </mergeCells>
  <printOptions horizontalCentered="1" verticalCentered="1"/>
  <pageMargins left="0.31496062992125984" right="0.1968503937007874" top="0.5511811023622047" bottom="0.5118110236220472" header="0.5118110236220472" footer="0.5118110236220472"/>
  <pageSetup horizontalDpi="600" verticalDpi="600" orientation="portrait" paperSize="9" scale="75" r:id="rId3"/>
  <headerFooter alignWithMargins="0">
    <oddFooter>&amp;L&amp;D&amp;R&amp;F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3"/>
  <sheetViews>
    <sheetView zoomScale="75" zoomScaleNormal="75" workbookViewId="0" topLeftCell="A34">
      <selection activeCell="Q46" sqref="Q46"/>
    </sheetView>
  </sheetViews>
  <sheetFormatPr defaultColWidth="9.140625" defaultRowHeight="12.75"/>
  <cols>
    <col min="1" max="1" width="8.8515625" style="93" customWidth="1"/>
    <col min="2" max="2" width="35.140625" style="93" customWidth="1"/>
    <col min="3" max="3" width="0.9921875" style="93" customWidth="1"/>
    <col min="4" max="5" width="12.8515625" style="93" bestFit="1" customWidth="1"/>
    <col min="6" max="6" width="10.00390625" style="93" bestFit="1" customWidth="1"/>
    <col min="7" max="7" width="14.00390625" style="93" bestFit="1" customWidth="1"/>
    <col min="8" max="8" width="12.140625" style="95" customWidth="1"/>
    <col min="9" max="9" width="12.421875" style="93" customWidth="1"/>
    <col min="10" max="10" width="9.140625" style="93" hidden="1" customWidth="1"/>
    <col min="11" max="11" width="12.00390625" style="95" customWidth="1"/>
    <col min="12" max="12" width="14.7109375" style="95" hidden="1" customWidth="1"/>
    <col min="13" max="13" width="9.421875" style="95" hidden="1" customWidth="1"/>
    <col min="14" max="14" width="12.140625" style="96" customWidth="1"/>
    <col min="15" max="15" width="5.421875" style="93" customWidth="1"/>
    <col min="16" max="16384" width="8.8515625" style="93" customWidth="1"/>
  </cols>
  <sheetData>
    <row r="1" spans="2:14" ht="19.5">
      <c r="B1" s="363" t="s">
        <v>63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</row>
    <row r="2" ht="16.5">
      <c r="B2" s="94"/>
    </row>
    <row r="3" spans="2:11" ht="17.25" thickBot="1">
      <c r="B3" s="97"/>
      <c r="C3" s="98"/>
      <c r="D3" s="99"/>
      <c r="E3" s="99"/>
      <c r="F3" s="99"/>
      <c r="G3" s="99"/>
      <c r="H3" s="100"/>
      <c r="I3" s="99"/>
      <c r="J3" s="99"/>
      <c r="K3" s="100"/>
    </row>
    <row r="4" spans="2:14" ht="15.75" thickBot="1">
      <c r="B4" s="101"/>
      <c r="C4" s="102"/>
      <c r="D4" s="101"/>
      <c r="E4" s="103"/>
      <c r="F4" s="104"/>
      <c r="G4" s="105"/>
      <c r="H4" s="106"/>
      <c r="I4" s="360" t="s">
        <v>66</v>
      </c>
      <c r="J4" s="361"/>
      <c r="K4" s="361"/>
      <c r="L4" s="361"/>
      <c r="M4" s="361"/>
      <c r="N4" s="362"/>
    </row>
    <row r="5" spans="2:14" ht="16.5">
      <c r="B5" s="107"/>
      <c r="C5" s="108"/>
      <c r="D5" s="109" t="s">
        <v>69</v>
      </c>
      <c r="E5" s="110" t="s">
        <v>69</v>
      </c>
      <c r="F5" s="111" t="s">
        <v>16</v>
      </c>
      <c r="G5" s="112" t="s">
        <v>48</v>
      </c>
      <c r="H5" s="113">
        <v>2007</v>
      </c>
      <c r="I5" s="114">
        <v>2008</v>
      </c>
      <c r="J5" s="115" t="s">
        <v>46</v>
      </c>
      <c r="K5" s="116" t="s">
        <v>43</v>
      </c>
      <c r="L5" s="117" t="s">
        <v>45</v>
      </c>
      <c r="M5" s="115" t="s">
        <v>43</v>
      </c>
      <c r="N5" s="113">
        <v>2008</v>
      </c>
    </row>
    <row r="6" spans="2:14" ht="16.5">
      <c r="B6" s="107"/>
      <c r="C6" s="108"/>
      <c r="D6" s="109">
        <v>2007</v>
      </c>
      <c r="E6" s="118">
        <v>2008</v>
      </c>
      <c r="F6" s="115"/>
      <c r="G6" s="112">
        <v>2007</v>
      </c>
      <c r="H6" s="113" t="s">
        <v>57</v>
      </c>
      <c r="I6" s="114"/>
      <c r="J6" s="115" t="s">
        <v>47</v>
      </c>
      <c r="K6" s="116" t="s">
        <v>16</v>
      </c>
      <c r="L6" s="117">
        <v>2006</v>
      </c>
      <c r="M6" s="115" t="s">
        <v>16</v>
      </c>
      <c r="N6" s="113" t="s">
        <v>61</v>
      </c>
    </row>
    <row r="7" spans="2:14" ht="16.5">
      <c r="B7" s="107"/>
      <c r="C7" s="108">
        <v>2002</v>
      </c>
      <c r="D7" s="109" t="s">
        <v>64</v>
      </c>
      <c r="E7" s="118" t="s">
        <v>64</v>
      </c>
      <c r="F7" s="108" t="s">
        <v>59</v>
      </c>
      <c r="G7" s="119" t="s">
        <v>64</v>
      </c>
      <c r="H7" s="113" t="s">
        <v>55</v>
      </c>
      <c r="I7" s="118" t="s">
        <v>64</v>
      </c>
      <c r="J7" s="115">
        <v>2003</v>
      </c>
      <c r="K7" s="116" t="s">
        <v>60</v>
      </c>
      <c r="L7" s="117"/>
      <c r="M7" s="115" t="s">
        <v>52</v>
      </c>
      <c r="N7" s="113" t="s">
        <v>55</v>
      </c>
    </row>
    <row r="8" spans="2:14" ht="17.25" thickBot="1">
      <c r="B8" s="120"/>
      <c r="C8" s="121"/>
      <c r="D8" s="122"/>
      <c r="E8" s="123"/>
      <c r="F8" s="124"/>
      <c r="G8" s="125"/>
      <c r="H8" s="126"/>
      <c r="I8" s="127"/>
      <c r="J8" s="128"/>
      <c r="K8" s="129"/>
      <c r="L8" s="130"/>
      <c r="M8" s="131"/>
      <c r="N8" s="132"/>
    </row>
    <row r="9" spans="2:14" ht="16.5">
      <c r="B9" s="133"/>
      <c r="C9" s="98"/>
      <c r="D9" s="134"/>
      <c r="E9" s="135"/>
      <c r="F9" s="136"/>
      <c r="G9" s="137"/>
      <c r="H9" s="138"/>
      <c r="I9" s="139"/>
      <c r="J9" s="140"/>
      <c r="K9" s="141"/>
      <c r="L9" s="142"/>
      <c r="M9" s="142"/>
      <c r="N9" s="143"/>
    </row>
    <row r="10" spans="2:14" ht="16.5">
      <c r="B10" s="144" t="s">
        <v>1</v>
      </c>
      <c r="C10" s="145">
        <f>C12+C29</f>
        <v>915767</v>
      </c>
      <c r="D10" s="32">
        <f>D12+D29</f>
        <v>1850594.764161743</v>
      </c>
      <c r="E10" s="147">
        <f>E12+E29</f>
        <v>1926374</v>
      </c>
      <c r="F10" s="148">
        <f>(+E10/D10)*100-100</f>
        <v>4.094858437178289</v>
      </c>
      <c r="G10" s="149">
        <f>G12+G29</f>
        <v>7303699.78081719</v>
      </c>
      <c r="H10" s="150">
        <f>+G10/1000/$G$59*100</f>
        <v>47.150515880494545</v>
      </c>
      <c r="I10" s="147">
        <f>I12+I29</f>
        <v>7444400</v>
      </c>
      <c r="J10" s="151" t="e">
        <f>+I10/1000/$K$59*100</f>
        <v>#DIV/0!</v>
      </c>
      <c r="K10" s="152">
        <f>(+I10/G10-1)*100</f>
        <v>1.9264239139778372</v>
      </c>
      <c r="L10" s="153" t="e">
        <f>+L12+L29</f>
        <v>#DIV/0!</v>
      </c>
      <c r="M10" s="154" t="e">
        <f>(L10/G10-1)*100</f>
        <v>#DIV/0!</v>
      </c>
      <c r="N10" s="155">
        <f>+I10/1000/$I$59*100</f>
        <v>45.421045249934835</v>
      </c>
    </row>
    <row r="11" spans="2:14" ht="16.5">
      <c r="B11" s="144"/>
      <c r="C11" s="145"/>
      <c r="D11" s="32"/>
      <c r="E11" s="147"/>
      <c r="F11" s="148"/>
      <c r="G11" s="149"/>
      <c r="H11" s="150"/>
      <c r="I11" s="147"/>
      <c r="J11" s="156"/>
      <c r="K11" s="152"/>
      <c r="L11" s="157"/>
      <c r="M11" s="158"/>
      <c r="N11" s="155"/>
    </row>
    <row r="12" spans="2:14" ht="16.5">
      <c r="B12" s="144" t="s">
        <v>2</v>
      </c>
      <c r="C12" s="145">
        <f>C13+C28</f>
        <v>915200</v>
      </c>
      <c r="D12" s="32">
        <f>D13+D28</f>
        <v>1844448.924777113</v>
      </c>
      <c r="E12" s="147">
        <f>E13+E28</f>
        <v>1919927</v>
      </c>
      <c r="F12" s="148">
        <f aca="true" t="shared" si="0" ref="F12:F17">(+E12/D12)*100-100</f>
        <v>4.092174860955183</v>
      </c>
      <c r="G12" s="149">
        <f>G13+G28</f>
        <v>7303699.78081719</v>
      </c>
      <c r="H12" s="150">
        <f aca="true" t="shared" si="1" ref="H12:H51">+G12/1000/$G$59*100</f>
        <v>47.150515880494545</v>
      </c>
      <c r="I12" s="147">
        <f>I13+I28</f>
        <v>7444400</v>
      </c>
      <c r="J12" s="151" t="e">
        <f>+I12/1000/$K$59*100</f>
        <v>#DIV/0!</v>
      </c>
      <c r="K12" s="152">
        <f aca="true" t="shared" si="2" ref="K12:K17">(+I12/G12-1)*100</f>
        <v>1.9264239139778372</v>
      </c>
      <c r="L12" s="153" t="e">
        <f>+L13+L28</f>
        <v>#DIV/0!</v>
      </c>
      <c r="M12" s="154" t="e">
        <f aca="true" t="shared" si="3" ref="M12:M17">(L12/G12-1)*100</f>
        <v>#DIV/0!</v>
      </c>
      <c r="N12" s="155">
        <f aca="true" t="shared" si="4" ref="N12:N24">+I12/1000/$I$59*100</f>
        <v>45.421045249934835</v>
      </c>
    </row>
    <row r="13" spans="2:14" ht="16.5">
      <c r="B13" s="144" t="s">
        <v>3</v>
      </c>
      <c r="C13" s="145">
        <f>C14+C27</f>
        <v>914845</v>
      </c>
      <c r="D13" s="32">
        <f>D14+D27</f>
        <v>1844448.924777113</v>
      </c>
      <c r="E13" s="147">
        <f>E14+E27</f>
        <v>1919927</v>
      </c>
      <c r="F13" s="148">
        <f t="shared" si="0"/>
        <v>4.092174860955183</v>
      </c>
      <c r="G13" s="149">
        <f>G14+G27</f>
        <v>7292199.78081719</v>
      </c>
      <c r="H13" s="150">
        <f t="shared" si="1"/>
        <v>47.07627529710558</v>
      </c>
      <c r="I13" s="147">
        <f>I14+I27</f>
        <v>7444400</v>
      </c>
      <c r="J13" s="151" t="e">
        <f aca="true" t="shared" si="5" ref="J13:J24">+I13/1000/$K$59*100</f>
        <v>#DIV/0!</v>
      </c>
      <c r="K13" s="152">
        <f t="shared" si="2"/>
        <v>2.0871646931998056</v>
      </c>
      <c r="L13" s="153">
        <f>+L14+L27</f>
        <v>2824200</v>
      </c>
      <c r="M13" s="154">
        <f t="shared" si="3"/>
        <v>-61.27094587521695</v>
      </c>
      <c r="N13" s="155">
        <f t="shared" si="4"/>
        <v>45.421045249934835</v>
      </c>
    </row>
    <row r="14" spans="2:14" ht="16.5">
      <c r="B14" s="144" t="s">
        <v>4</v>
      </c>
      <c r="C14" s="145">
        <f>C15+C19+C26</f>
        <v>788907</v>
      </c>
      <c r="D14" s="32">
        <f>D15+D19+D26</f>
        <v>1653632.3158042217</v>
      </c>
      <c r="E14" s="147">
        <f>E15+E19+E26</f>
        <v>1726588</v>
      </c>
      <c r="F14" s="148">
        <f t="shared" si="0"/>
        <v>4.411844368214176</v>
      </c>
      <c r="G14" s="149">
        <f>G15+G19+G26</f>
        <v>6537699.78081719</v>
      </c>
      <c r="H14" s="150">
        <f t="shared" si="1"/>
        <v>42.20544745649947</v>
      </c>
      <c r="I14" s="147">
        <f>I15+I19+I26</f>
        <v>6751500</v>
      </c>
      <c r="J14" s="151" t="e">
        <f t="shared" si="5"/>
        <v>#DIV/0!</v>
      </c>
      <c r="K14" s="152">
        <f t="shared" si="2"/>
        <v>3.270266704661773</v>
      </c>
      <c r="L14" s="153">
        <f>+L15+L19+L26</f>
        <v>2442200</v>
      </c>
      <c r="M14" s="154">
        <f t="shared" si="3"/>
        <v>-62.64435379602682</v>
      </c>
      <c r="N14" s="155">
        <f t="shared" si="4"/>
        <v>41.193405379202495</v>
      </c>
    </row>
    <row r="15" spans="2:14" ht="16.5">
      <c r="B15" s="144" t="s">
        <v>5</v>
      </c>
      <c r="C15" s="145">
        <f>C16+C17</f>
        <v>267215</v>
      </c>
      <c r="D15" s="32">
        <f>D16+D17</f>
        <v>596416.3793368577</v>
      </c>
      <c r="E15" s="147">
        <f>E16+E17</f>
        <v>544639</v>
      </c>
      <c r="F15" s="148">
        <f t="shared" si="0"/>
        <v>-8.68141471809139</v>
      </c>
      <c r="G15" s="149">
        <f>G16+G17</f>
        <v>2176000</v>
      </c>
      <c r="H15" s="150">
        <f t="shared" si="1"/>
        <v>14.047609517771903</v>
      </c>
      <c r="I15" s="147">
        <f>I16+I17</f>
        <v>2195600</v>
      </c>
      <c r="J15" s="151" t="e">
        <f t="shared" si="5"/>
        <v>#DIV/0!</v>
      </c>
      <c r="K15" s="152">
        <f t="shared" si="2"/>
        <v>0.9007352941176494</v>
      </c>
      <c r="L15" s="153">
        <f>+L16+L17</f>
        <v>798200</v>
      </c>
      <c r="M15" s="154">
        <f t="shared" si="3"/>
        <v>-63.318014705882355</v>
      </c>
      <c r="N15" s="155">
        <f t="shared" si="4"/>
        <v>13.396169866041173</v>
      </c>
    </row>
    <row r="16" spans="2:14" ht="16.5">
      <c r="B16" s="144" t="s">
        <v>6</v>
      </c>
      <c r="C16" s="145">
        <v>191033</v>
      </c>
      <c r="D16" s="32">
        <f>(6431+205811)/0.585274</f>
        <v>362636.98712056235</v>
      </c>
      <c r="E16" s="147">
        <f>335039+9588</f>
        <v>344627</v>
      </c>
      <c r="F16" s="148">
        <f t="shared" si="0"/>
        <v>-4.9663955305735925</v>
      </c>
      <c r="G16" s="149">
        <v>1680040</v>
      </c>
      <c r="H16" s="150">
        <f t="shared" si="1"/>
        <v>10.845839105807679</v>
      </c>
      <c r="I16" s="147">
        <v>1669660</v>
      </c>
      <c r="J16" s="151" t="e">
        <f t="shared" si="5"/>
        <v>#DIV/0!</v>
      </c>
      <c r="K16" s="152">
        <f t="shared" si="2"/>
        <v>-0.6178424323230347</v>
      </c>
      <c r="L16" s="153">
        <f>-5000+502900</f>
        <v>497900</v>
      </c>
      <c r="M16" s="154">
        <f t="shared" si="3"/>
        <v>-70.36380086188424</v>
      </c>
      <c r="N16" s="155">
        <f t="shared" si="4"/>
        <v>10.187214874537398</v>
      </c>
    </row>
    <row r="17" spans="2:14" ht="16.5">
      <c r="B17" s="144" t="s">
        <v>7</v>
      </c>
      <c r="C17" s="145">
        <v>76182</v>
      </c>
      <c r="D17" s="32">
        <f>(18401+41391+77033)/0.585274</f>
        <v>233779.3922162953</v>
      </c>
      <c r="E17" s="147">
        <f>27715+14362+157935</f>
        <v>200012</v>
      </c>
      <c r="F17" s="148">
        <f t="shared" si="0"/>
        <v>-14.444126959254532</v>
      </c>
      <c r="G17" s="149">
        <f>2176000-1680040</f>
        <v>495960</v>
      </c>
      <c r="H17" s="150">
        <f t="shared" si="1"/>
        <v>3.2017704119642247</v>
      </c>
      <c r="I17" s="159">
        <v>525940</v>
      </c>
      <c r="J17" s="151" t="e">
        <f t="shared" si="5"/>
        <v>#DIV/0!</v>
      </c>
      <c r="K17" s="152">
        <f t="shared" si="2"/>
        <v>6.0448423259940265</v>
      </c>
      <c r="L17" s="153">
        <f>308300-8000</f>
        <v>300300</v>
      </c>
      <c r="M17" s="154">
        <f t="shared" si="3"/>
        <v>-39.450762158238575</v>
      </c>
      <c r="N17" s="155">
        <f t="shared" si="4"/>
        <v>3.208954991503779</v>
      </c>
    </row>
    <row r="18" spans="2:14" ht="16.5">
      <c r="B18" s="133"/>
      <c r="C18" s="160"/>
      <c r="D18" s="33"/>
      <c r="E18" s="162"/>
      <c r="F18" s="163"/>
      <c r="G18" s="149"/>
      <c r="H18" s="150"/>
      <c r="I18" s="147"/>
      <c r="J18" s="164"/>
      <c r="K18" s="165"/>
      <c r="L18" s="158"/>
      <c r="M18" s="158"/>
      <c r="N18" s="155">
        <f t="shared" si="4"/>
        <v>0</v>
      </c>
    </row>
    <row r="19" spans="2:14" ht="16.5">
      <c r="B19" s="144" t="s">
        <v>9</v>
      </c>
      <c r="C19" s="145">
        <f>C20+C21</f>
        <v>371674</v>
      </c>
      <c r="D19" s="32">
        <f>D20+D21</f>
        <v>816701.2373691639</v>
      </c>
      <c r="E19" s="147">
        <f>E20+E21</f>
        <v>913125</v>
      </c>
      <c r="F19" s="148">
        <f aca="true" t="shared" si="6" ref="F19:F24">(+E19/D19)*100-100</f>
        <v>11.806491556379356</v>
      </c>
      <c r="G19" s="149">
        <f>G20+G21</f>
        <v>3113899.78081719</v>
      </c>
      <c r="H19" s="150">
        <f t="shared" si="1"/>
        <v>20.10241185588024</v>
      </c>
      <c r="I19" s="147">
        <f>I20+I21</f>
        <v>3217300</v>
      </c>
      <c r="J19" s="151" t="e">
        <f t="shared" si="5"/>
        <v>#DIV/0!</v>
      </c>
      <c r="K19" s="152">
        <f aca="true" t="shared" si="7" ref="K19:K24">(+I19/G19-1)*100</f>
        <v>3.3206020251452806</v>
      </c>
      <c r="L19" s="153">
        <f>+L20+L21</f>
        <v>1207200</v>
      </c>
      <c r="M19" s="154">
        <f aca="true" t="shared" si="8" ref="M19:M24">(L19/G19-1)*100</f>
        <v>-61.23189296467368</v>
      </c>
      <c r="N19" s="155">
        <f t="shared" si="4"/>
        <v>19.62994047641386</v>
      </c>
    </row>
    <row r="20" spans="2:17" ht="16.5">
      <c r="B20" s="144" t="s">
        <v>10</v>
      </c>
      <c r="C20" s="145">
        <v>36073</v>
      </c>
      <c r="D20" s="32">
        <f>(9491-4291)/0.585274</f>
        <v>8884.727495156116</v>
      </c>
      <c r="E20" s="147">
        <f>5646+17568</f>
        <v>23214</v>
      </c>
      <c r="F20" s="148">
        <f t="shared" si="6"/>
        <v>161.2798199230769</v>
      </c>
      <c r="G20" s="149">
        <v>50220</v>
      </c>
      <c r="H20" s="150">
        <f t="shared" si="1"/>
        <v>0.3242053998081365</v>
      </c>
      <c r="I20" s="147">
        <v>53840</v>
      </c>
      <c r="J20" s="151" t="e">
        <f t="shared" si="5"/>
        <v>#DIV/0!</v>
      </c>
      <c r="K20" s="152">
        <f t="shared" si="7"/>
        <v>7.2082835523695765</v>
      </c>
      <c r="L20" s="153">
        <v>26700</v>
      </c>
      <c r="M20" s="154">
        <f t="shared" si="8"/>
        <v>-46.83393070489845</v>
      </c>
      <c r="N20" s="155">
        <f t="shared" si="4"/>
        <v>0.32849780724524363</v>
      </c>
      <c r="Q20" s="93" t="s">
        <v>65</v>
      </c>
    </row>
    <row r="21" spans="2:14" ht="16.5">
      <c r="B21" s="144" t="s">
        <v>11</v>
      </c>
      <c r="C21" s="145">
        <v>335601</v>
      </c>
      <c r="D21" s="32">
        <f>SUM(D22:D24)</f>
        <v>807816.5098740078</v>
      </c>
      <c r="E21" s="147">
        <f>SUM(E22:E24)</f>
        <v>889911</v>
      </c>
      <c r="F21" s="148">
        <f t="shared" si="6"/>
        <v>10.162516997677628</v>
      </c>
      <c r="G21" s="149">
        <f>SUM(G22:G24)</f>
        <v>3063679.78081719</v>
      </c>
      <c r="H21" s="150">
        <f t="shared" si="1"/>
        <v>19.778206456072105</v>
      </c>
      <c r="I21" s="147">
        <f>SUM(I22:I24)</f>
        <v>3163460</v>
      </c>
      <c r="J21" s="151" t="e">
        <f t="shared" si="5"/>
        <v>#DIV/0!</v>
      </c>
      <c r="K21" s="152">
        <f t="shared" si="7"/>
        <v>3.2568749452070556</v>
      </c>
      <c r="L21" s="153">
        <f>+L22+L23+L24</f>
        <v>1180500</v>
      </c>
      <c r="M21" s="154">
        <f t="shared" si="8"/>
        <v>-61.467905118820234</v>
      </c>
      <c r="N21" s="155">
        <f t="shared" si="4"/>
        <v>19.30144266916862</v>
      </c>
    </row>
    <row r="22" spans="2:18" ht="16.5">
      <c r="B22" s="144" t="s">
        <v>12</v>
      </c>
      <c r="C22" s="145">
        <v>88941</v>
      </c>
      <c r="D22" s="32">
        <f>(115599-3016)/0.585274</f>
        <v>192359.47607445403</v>
      </c>
      <c r="E22" s="147">
        <f>167985+33303</f>
        <v>201288</v>
      </c>
      <c r="F22" s="148">
        <f t="shared" si="6"/>
        <v>4.6415825764103005</v>
      </c>
      <c r="G22" s="149">
        <v>620261.6210527036</v>
      </c>
      <c r="H22" s="150">
        <f t="shared" si="1"/>
        <v>4.004224747889977</v>
      </c>
      <c r="I22" s="159">
        <v>635700</v>
      </c>
      <c r="J22" s="151" t="e">
        <f t="shared" si="5"/>
        <v>#DIV/0!</v>
      </c>
      <c r="K22" s="152">
        <f t="shared" si="7"/>
        <v>2.4890108340242856</v>
      </c>
      <c r="L22" s="153">
        <v>347400</v>
      </c>
      <c r="M22" s="154">
        <f t="shared" si="8"/>
        <v>-43.99137586323732</v>
      </c>
      <c r="N22" s="155">
        <f t="shared" si="4"/>
        <v>3.878641457388585</v>
      </c>
      <c r="Q22" s="93">
        <v>467</v>
      </c>
      <c r="R22" s="227">
        <f>+Q22/0.585274</f>
        <v>797.9168731226742</v>
      </c>
    </row>
    <row r="23" spans="2:18" ht="16.5">
      <c r="B23" s="144" t="s">
        <v>13</v>
      </c>
      <c r="C23" s="145">
        <v>178000</v>
      </c>
      <c r="D23" s="34">
        <f>277050/0.585274</f>
        <v>473368.0293332696</v>
      </c>
      <c r="E23" s="147">
        <v>556826</v>
      </c>
      <c r="F23" s="148">
        <f t="shared" si="6"/>
        <v>17.63067328063525</v>
      </c>
      <c r="G23" s="149">
        <v>1599531.1597644866</v>
      </c>
      <c r="H23" s="150">
        <f t="shared" si="1"/>
        <v>10.326097952150889</v>
      </c>
      <c r="I23" s="159">
        <v>1721000</v>
      </c>
      <c r="J23" s="151" t="e">
        <f t="shared" si="5"/>
        <v>#DIV/0!</v>
      </c>
      <c r="K23" s="152">
        <f t="shared" si="7"/>
        <v>7.594027755820543</v>
      </c>
      <c r="L23" s="153">
        <f>685300-5000</f>
        <v>680300</v>
      </c>
      <c r="M23" s="154">
        <f t="shared" si="8"/>
        <v>-57.46878728513381</v>
      </c>
      <c r="N23" s="155">
        <f t="shared" si="4"/>
        <v>10.500459254626008</v>
      </c>
      <c r="Q23" s="93">
        <v>935</v>
      </c>
      <c r="R23" s="227">
        <f aca="true" t="shared" si="9" ref="R23:R43">+Q23/0.585274</f>
        <v>1597.5423476867247</v>
      </c>
    </row>
    <row r="24" spans="2:18" ht="16.5">
      <c r="B24" s="144" t="s">
        <v>8</v>
      </c>
      <c r="C24" s="145">
        <f>335601-C23</f>
        <v>157601</v>
      </c>
      <c r="D24" s="34">
        <f>83161/0.585274</f>
        <v>142089.00446628418</v>
      </c>
      <c r="E24" s="147">
        <v>131797</v>
      </c>
      <c r="F24" s="148">
        <f t="shared" si="6"/>
        <v>-7.243350395016904</v>
      </c>
      <c r="G24" s="149">
        <f>3113900-2270013</f>
        <v>843887</v>
      </c>
      <c r="H24" s="150">
        <f t="shared" si="1"/>
        <v>5.44788375603124</v>
      </c>
      <c r="I24" s="159">
        <f>3217300-I22-I23-I20</f>
        <v>806760</v>
      </c>
      <c r="J24" s="151" t="e">
        <f t="shared" si="5"/>
        <v>#DIV/0!</v>
      </c>
      <c r="K24" s="152">
        <f t="shared" si="7"/>
        <v>-4.399522684909241</v>
      </c>
      <c r="L24" s="153">
        <v>152800</v>
      </c>
      <c r="M24" s="154">
        <f t="shared" si="8"/>
        <v>-81.89331036027335</v>
      </c>
      <c r="N24" s="155">
        <f t="shared" si="4"/>
        <v>4.922341957154026</v>
      </c>
      <c r="Q24" s="93">
        <v>1342</v>
      </c>
      <c r="R24" s="227">
        <f t="shared" si="9"/>
        <v>2292.9431343268284</v>
      </c>
    </row>
    <row r="25" spans="2:18" ht="16.5">
      <c r="B25" s="166"/>
      <c r="C25" s="167"/>
      <c r="D25" s="35"/>
      <c r="E25" s="169"/>
      <c r="F25" s="167"/>
      <c r="G25" s="149"/>
      <c r="H25" s="150"/>
      <c r="I25" s="170"/>
      <c r="J25" s="171"/>
      <c r="K25" s="172"/>
      <c r="L25" s="158"/>
      <c r="M25" s="158"/>
      <c r="N25" s="155"/>
      <c r="Q25" s="93">
        <v>161</v>
      </c>
      <c r="R25" s="227">
        <f t="shared" si="9"/>
        <v>275.0848320615643</v>
      </c>
    </row>
    <row r="26" spans="1:18" ht="16.5">
      <c r="A26" s="173" t="s">
        <v>51</v>
      </c>
      <c r="B26" s="144" t="s">
        <v>23</v>
      </c>
      <c r="C26" s="145">
        <v>150018</v>
      </c>
      <c r="D26" s="32">
        <f>140767/0.585274</f>
        <v>240514.6990982002</v>
      </c>
      <c r="E26" s="147">
        <v>268824</v>
      </c>
      <c r="F26" s="148">
        <f>(+E26/D26)*100-100</f>
        <v>11.770299698082624</v>
      </c>
      <c r="G26" s="149">
        <v>1247800</v>
      </c>
      <c r="H26" s="150">
        <f t="shared" si="1"/>
        <v>8.055426082847326</v>
      </c>
      <c r="I26" s="159">
        <v>1338600</v>
      </c>
      <c r="J26" s="151" t="e">
        <f>+I26/1000/$K$59*100</f>
        <v>#DIV/0!</v>
      </c>
      <c r="K26" s="152">
        <f>(+I26/G26-1)*100</f>
        <v>7.276807180637923</v>
      </c>
      <c r="L26" s="153">
        <v>436800</v>
      </c>
      <c r="M26" s="154">
        <f>(L26/G26-1)*100</f>
        <v>-64.99439012662286</v>
      </c>
      <c r="N26" s="155">
        <f>+I26/1000/$I$59*100</f>
        <v>8.167295036747458</v>
      </c>
      <c r="Q26" s="93">
        <v>4078</v>
      </c>
      <c r="R26" s="227">
        <f t="shared" si="9"/>
        <v>6967.676677932046</v>
      </c>
    </row>
    <row r="27" spans="1:18" ht="16.5">
      <c r="A27" s="93" t="s">
        <v>49</v>
      </c>
      <c r="B27" s="144" t="s">
        <v>14</v>
      </c>
      <c r="C27" s="145">
        <v>125938</v>
      </c>
      <c r="D27" s="32">
        <f>(32604+162+78914)/0.585274</f>
        <v>190816.60897289135</v>
      </c>
      <c r="E27" s="147">
        <f>214+55485+137640</f>
        <v>193339</v>
      </c>
      <c r="F27" s="148">
        <f>(+E27/D27)*100-100</f>
        <v>1.3218928062320714</v>
      </c>
      <c r="G27" s="149">
        <v>754500</v>
      </c>
      <c r="H27" s="150">
        <f t="shared" si="1"/>
        <v>4.870827840606113</v>
      </c>
      <c r="I27" s="159">
        <v>692900</v>
      </c>
      <c r="J27" s="151" t="e">
        <f>+I27/1000/$K$59*100</f>
        <v>#DIV/0!</v>
      </c>
      <c r="K27" s="152">
        <f>(+I27/G27-1)*100</f>
        <v>-8.164347249834325</v>
      </c>
      <c r="L27" s="153">
        <v>382000</v>
      </c>
      <c r="M27" s="154">
        <f>(L27/G27-1)*100</f>
        <v>-49.37044400265076</v>
      </c>
      <c r="N27" s="155">
        <f>+I27/1000/$I$59*100</f>
        <v>4.227639870732342</v>
      </c>
      <c r="Q27" s="93">
        <v>23</v>
      </c>
      <c r="R27" s="227">
        <f t="shared" si="9"/>
        <v>39.29783315165205</v>
      </c>
    </row>
    <row r="28" spans="2:18" ht="16.5">
      <c r="B28" s="144" t="s">
        <v>15</v>
      </c>
      <c r="C28" s="145">
        <v>355</v>
      </c>
      <c r="D28" s="32">
        <v>0</v>
      </c>
      <c r="E28" s="147">
        <v>0</v>
      </c>
      <c r="F28" s="148">
        <v>0</v>
      </c>
      <c r="G28" s="149">
        <v>11500</v>
      </c>
      <c r="H28" s="150">
        <f t="shared" si="1"/>
        <v>0.07424058338895997</v>
      </c>
      <c r="I28" s="159">
        <v>0</v>
      </c>
      <c r="J28" s="151" t="e">
        <f>+I28/1000/$K$59*100</f>
        <v>#DIV/0!</v>
      </c>
      <c r="K28" s="152">
        <f>(+I28/G28-1)*100</f>
        <v>-100</v>
      </c>
      <c r="L28" s="153" t="e">
        <f>I28/(1+K28/100)*(1+F28/100)</f>
        <v>#DIV/0!</v>
      </c>
      <c r="M28" s="154"/>
      <c r="N28" s="155">
        <f>+I28/1000/$I$59*100</f>
        <v>0</v>
      </c>
      <c r="Q28" s="93">
        <v>140</v>
      </c>
      <c r="R28" s="227">
        <f t="shared" si="9"/>
        <v>239.20420179266466</v>
      </c>
    </row>
    <row r="29" spans="2:18" ht="16.5">
      <c r="B29" s="144" t="s">
        <v>39</v>
      </c>
      <c r="C29" s="145">
        <v>567</v>
      </c>
      <c r="D29" s="32">
        <f>3597/0.585274</f>
        <v>6145.839384630105</v>
      </c>
      <c r="E29" s="147">
        <v>6447</v>
      </c>
      <c r="F29" s="148">
        <f>(+E29/D29)*100-100</f>
        <v>4.900235696413674</v>
      </c>
      <c r="G29" s="149">
        <v>0</v>
      </c>
      <c r="H29" s="150">
        <f t="shared" si="1"/>
        <v>0</v>
      </c>
      <c r="I29" s="147">
        <v>0</v>
      </c>
      <c r="J29" s="151" t="e">
        <f>+I29/1000/$K$59*100</f>
        <v>#DIV/0!</v>
      </c>
      <c r="K29" s="152"/>
      <c r="L29" s="153">
        <v>95000</v>
      </c>
      <c r="M29" s="154" t="e">
        <f>(L29/G29-1)*100</f>
        <v>#DIV/0!</v>
      </c>
      <c r="N29" s="155">
        <f>+I29/1000/$I$59*100</f>
        <v>0</v>
      </c>
      <c r="Q29" s="93">
        <v>126</v>
      </c>
      <c r="R29" s="227">
        <f t="shared" si="9"/>
        <v>215.2837816133982</v>
      </c>
    </row>
    <row r="30" spans="2:18" ht="16.5">
      <c r="B30" s="166"/>
      <c r="C30" s="167"/>
      <c r="D30" s="35"/>
      <c r="E30" s="169"/>
      <c r="F30" s="167"/>
      <c r="G30" s="149">
        <v>0</v>
      </c>
      <c r="H30" s="150"/>
      <c r="I30" s="169"/>
      <c r="J30" s="171"/>
      <c r="K30" s="172"/>
      <c r="L30" s="158"/>
      <c r="M30" s="158"/>
      <c r="N30" s="155"/>
      <c r="Q30" s="93">
        <v>1665</v>
      </c>
      <c r="R30" s="227">
        <f t="shared" si="9"/>
        <v>2844.821399891333</v>
      </c>
    </row>
    <row r="31" spans="2:19" ht="16.5">
      <c r="B31" s="144" t="s">
        <v>36</v>
      </c>
      <c r="C31" s="156">
        <f>+C33+C47</f>
        <v>1016432</v>
      </c>
      <c r="D31" s="34">
        <f>+D33+D47</f>
        <v>1710315.858667906</v>
      </c>
      <c r="E31" s="147">
        <f>+E33+E47</f>
        <v>1872504</v>
      </c>
      <c r="F31" s="174">
        <f>(+E31/D31)*100-100</f>
        <v>9.482935009350598</v>
      </c>
      <c r="G31" s="149">
        <f>+G33+G47</f>
        <v>6798200.374990176</v>
      </c>
      <c r="H31" s="150">
        <f t="shared" si="1"/>
        <v>43.88716189863627</v>
      </c>
      <c r="I31" s="147">
        <f>+I33+I47</f>
        <v>7281899.805680758</v>
      </c>
      <c r="J31" s="151" t="e">
        <f>+I31/1000/$K$59*100</f>
        <v>#DIV/0!</v>
      </c>
      <c r="K31" s="152">
        <f>(+I31/G31-1)*100</f>
        <v>7.115109941008191</v>
      </c>
      <c r="L31" s="153">
        <f>+L33</f>
        <v>3115750</v>
      </c>
      <c r="M31" s="154">
        <f>(L31/G31-1)*100</f>
        <v>-54.16801759091277</v>
      </c>
      <c r="N31" s="155">
        <f>+I31/1000/$I$59*100</f>
        <v>44.429571299139944</v>
      </c>
      <c r="Q31" s="93">
        <v>681</v>
      </c>
      <c r="R31" s="227">
        <f t="shared" si="9"/>
        <v>1163.5575815771758</v>
      </c>
      <c r="S31" s="227">
        <f>SUM(R22:R31)</f>
        <v>16433.328663156062</v>
      </c>
    </row>
    <row r="32" spans="2:18" ht="16.5">
      <c r="B32" s="144"/>
      <c r="C32" s="164"/>
      <c r="D32" s="33"/>
      <c r="E32" s="162"/>
      <c r="F32" s="174"/>
      <c r="G32" s="149"/>
      <c r="H32" s="150"/>
      <c r="I32" s="162"/>
      <c r="J32" s="175"/>
      <c r="K32" s="152"/>
      <c r="L32" s="158"/>
      <c r="M32" s="154"/>
      <c r="N32" s="155"/>
      <c r="R32" s="227"/>
    </row>
    <row r="33" spans="2:18" ht="16.5">
      <c r="B33" s="144" t="s">
        <v>37</v>
      </c>
      <c r="C33" s="145">
        <f>+C34+C44</f>
        <v>1008790</v>
      </c>
      <c r="D33" s="34">
        <f>+D34+D44</f>
        <v>1710315.858667906</v>
      </c>
      <c r="E33" s="147">
        <f>+E34+E44</f>
        <v>1872504</v>
      </c>
      <c r="F33" s="174">
        <f aca="true" t="shared" si="10" ref="F33:F45">(+E33/D33)*100-100</f>
        <v>9.482935009350598</v>
      </c>
      <c r="G33" s="149">
        <f>+G34+G44</f>
        <v>6798200.374990176</v>
      </c>
      <c r="H33" s="150">
        <f t="shared" si="1"/>
        <v>43.88716189863627</v>
      </c>
      <c r="I33" s="147">
        <f>+I34+I44</f>
        <v>7281899.805680758</v>
      </c>
      <c r="J33" s="151" t="e">
        <f aca="true" t="shared" si="11" ref="J33:J46">+I33/1000/$K$59*100</f>
        <v>#DIV/0!</v>
      </c>
      <c r="K33" s="152">
        <f aca="true" t="shared" si="12" ref="K33:K46">(+I33/G33-1)*100</f>
        <v>7.115109941008191</v>
      </c>
      <c r="L33" s="153">
        <f>+L34+L44</f>
        <v>3115750</v>
      </c>
      <c r="M33" s="154">
        <f aca="true" t="shared" si="13" ref="M33:M45">(L33/G33-1)*100</f>
        <v>-54.16801759091277</v>
      </c>
      <c r="N33" s="155">
        <f aca="true" t="shared" si="14" ref="N33:N47">+I33/1000/$I$59*100</f>
        <v>44.429571299139944</v>
      </c>
      <c r="Q33" s="93">
        <v>65</v>
      </c>
      <c r="R33" s="227">
        <f t="shared" si="9"/>
        <v>111.05909368945144</v>
      </c>
    </row>
    <row r="34" spans="2:18" ht="16.5">
      <c r="B34" s="144" t="s">
        <v>34</v>
      </c>
      <c r="C34" s="145">
        <f>SUM(C35:C43)</f>
        <v>937943</v>
      </c>
      <c r="D34" s="34">
        <f>SUM(D35:D43)</f>
        <v>1659325.704470043</v>
      </c>
      <c r="E34" s="147">
        <f>SUM(E35:E43)</f>
        <v>1818660</v>
      </c>
      <c r="F34" s="174">
        <f t="shared" si="10"/>
        <v>9.602352033764532</v>
      </c>
      <c r="G34" s="149">
        <f>SUM(G35:G43)</f>
        <v>6205300.374990176</v>
      </c>
      <c r="H34" s="150">
        <f t="shared" si="1"/>
        <v>40.059575647217635</v>
      </c>
      <c r="I34" s="147">
        <f>SUM(I35:I43)</f>
        <v>6711799.805680758</v>
      </c>
      <c r="J34" s="151" t="e">
        <f t="shared" si="11"/>
        <v>#DIV/0!</v>
      </c>
      <c r="K34" s="152">
        <f t="shared" si="12"/>
        <v>8.16236765478713</v>
      </c>
      <c r="L34" s="153">
        <f>SUM(L35:L43)</f>
        <v>2894990</v>
      </c>
      <c r="M34" s="154">
        <f t="shared" si="13"/>
        <v>-53.346496945289566</v>
      </c>
      <c r="N34" s="155">
        <f t="shared" si="14"/>
        <v>40.951179770341405</v>
      </c>
      <c r="Q34" s="93">
        <v>701</v>
      </c>
      <c r="R34" s="227">
        <f t="shared" si="9"/>
        <v>1197.7296104046993</v>
      </c>
    </row>
    <row r="35" spans="2:18" ht="16.5">
      <c r="B35" s="133" t="s">
        <v>17</v>
      </c>
      <c r="C35" s="160">
        <v>269354</v>
      </c>
      <c r="D35" s="33">
        <f>281731/0.585274</f>
        <v>481365.9926803515</v>
      </c>
      <c r="E35" s="162">
        <v>514325</v>
      </c>
      <c r="F35" s="176">
        <f t="shared" si="10"/>
        <v>6.846974614082214</v>
      </c>
      <c r="G35" s="149">
        <v>2256200</v>
      </c>
      <c r="H35" s="150">
        <f t="shared" si="1"/>
        <v>14.565356890623606</v>
      </c>
      <c r="I35" s="162">
        <v>2434400</v>
      </c>
      <c r="J35" s="151" t="e">
        <f t="shared" si="11"/>
        <v>#DIV/0!</v>
      </c>
      <c r="K35" s="152">
        <f t="shared" si="12"/>
        <v>7.89823597198831</v>
      </c>
      <c r="L35" s="177">
        <v>820700</v>
      </c>
      <c r="M35" s="154">
        <f t="shared" si="13"/>
        <v>-63.624678663239074</v>
      </c>
      <c r="N35" s="155">
        <f t="shared" si="14"/>
        <v>14.85317722804274</v>
      </c>
      <c r="Q35" s="93">
        <v>9</v>
      </c>
      <c r="R35" s="227">
        <f t="shared" si="9"/>
        <v>15.377412972385585</v>
      </c>
    </row>
    <row r="36" spans="1:18" ht="16.5">
      <c r="A36" s="93" t="s">
        <v>54</v>
      </c>
      <c r="B36" s="133" t="s">
        <v>18</v>
      </c>
      <c r="C36" s="160">
        <v>76954</v>
      </c>
      <c r="D36" s="33">
        <f>(73717+162)/0.585274-16433</f>
        <v>109796.7658874305</v>
      </c>
      <c r="E36" s="162">
        <f>127511+26-712-2821-957-106-56-14-190-203-521</f>
        <v>121957</v>
      </c>
      <c r="F36" s="176">
        <f t="shared" si="10"/>
        <v>11.075220671833648</v>
      </c>
      <c r="G36" s="149">
        <v>788500</v>
      </c>
      <c r="H36" s="150">
        <f t="shared" si="1"/>
        <v>5.090321739321299</v>
      </c>
      <c r="I36" s="178">
        <v>847600</v>
      </c>
      <c r="J36" s="151" t="e">
        <f t="shared" si="11"/>
        <v>#DIV/0!</v>
      </c>
      <c r="K36" s="152">
        <f t="shared" si="12"/>
        <v>7.495244134432477</v>
      </c>
      <c r="L36" s="177">
        <v>207290</v>
      </c>
      <c r="M36" s="154">
        <f t="shared" si="13"/>
        <v>-73.71084337349399</v>
      </c>
      <c r="N36" s="155">
        <f t="shared" si="14"/>
        <v>5.171521943184779</v>
      </c>
      <c r="Q36" s="93">
        <v>62</v>
      </c>
      <c r="R36" s="227">
        <f t="shared" si="9"/>
        <v>105.93328936532292</v>
      </c>
    </row>
    <row r="37" spans="2:18" ht="16.5">
      <c r="B37" s="133" t="s">
        <v>19</v>
      </c>
      <c r="C37" s="160">
        <v>15523</v>
      </c>
      <c r="D37" s="33">
        <f>4830/0.585274</f>
        <v>8252.54496184693</v>
      </c>
      <c r="E37" s="162">
        <v>12623</v>
      </c>
      <c r="F37" s="176">
        <f t="shared" si="10"/>
        <v>52.95887581780539</v>
      </c>
      <c r="G37" s="149">
        <v>65500</v>
      </c>
      <c r="H37" s="150">
        <f t="shared" si="1"/>
        <v>0.42284854017190243</v>
      </c>
      <c r="I37" s="178">
        <v>70000</v>
      </c>
      <c r="J37" s="151" t="e">
        <f t="shared" si="11"/>
        <v>#DIV/0!</v>
      </c>
      <c r="K37" s="152">
        <f t="shared" si="12"/>
        <v>6.870229007633588</v>
      </c>
      <c r="L37" s="177">
        <v>50000</v>
      </c>
      <c r="M37" s="154">
        <f t="shared" si="13"/>
        <v>-23.664122137404576</v>
      </c>
      <c r="N37" s="155">
        <f t="shared" si="14"/>
        <v>0.4270959603857179</v>
      </c>
      <c r="Q37" s="93">
        <v>504</v>
      </c>
      <c r="R37" s="227">
        <f t="shared" si="9"/>
        <v>861.1351264535928</v>
      </c>
    </row>
    <row r="38" spans="2:18" ht="16.5">
      <c r="B38" s="133" t="s">
        <v>20</v>
      </c>
      <c r="C38" s="160">
        <v>155726</v>
      </c>
      <c r="D38" s="33">
        <f>114974/0.585274</f>
        <v>196444.74212078447</v>
      </c>
      <c r="E38" s="162">
        <v>200604</v>
      </c>
      <c r="F38" s="176">
        <f t="shared" si="10"/>
        <v>2.117266074068908</v>
      </c>
      <c r="G38" s="149">
        <v>502800</v>
      </c>
      <c r="H38" s="150">
        <f t="shared" si="1"/>
        <v>3.2459274198233983</v>
      </c>
      <c r="I38" s="162">
        <v>499100</v>
      </c>
      <c r="J38" s="151" t="e">
        <f t="shared" si="11"/>
        <v>#DIV/0!</v>
      </c>
      <c r="K38" s="152">
        <f t="shared" si="12"/>
        <v>-0.7358790771678558</v>
      </c>
      <c r="L38" s="177">
        <v>382000</v>
      </c>
      <c r="M38" s="154">
        <f t="shared" si="13"/>
        <v>-24.025457438345267</v>
      </c>
      <c r="N38" s="155">
        <f t="shared" si="14"/>
        <v>3.045194197550169</v>
      </c>
      <c r="Q38" s="93">
        <v>175</v>
      </c>
      <c r="R38" s="227">
        <f t="shared" si="9"/>
        <v>299.0052522408308</v>
      </c>
    </row>
    <row r="39" spans="2:18" ht="16.5">
      <c r="B39" s="133" t="s">
        <v>21</v>
      </c>
      <c r="C39" s="179">
        <v>146560</v>
      </c>
      <c r="D39" s="36">
        <f>(139156+763+7714)/0.585274</f>
        <v>252245.956594689</v>
      </c>
      <c r="E39" s="181">
        <f>267955+929+9398</f>
        <v>278282</v>
      </c>
      <c r="F39" s="176">
        <f t="shared" si="10"/>
        <v>10.321689099320608</v>
      </c>
      <c r="G39" s="149">
        <v>1872400</v>
      </c>
      <c r="H39" s="150">
        <f t="shared" si="1"/>
        <v>12.087658116303361</v>
      </c>
      <c r="I39" s="181">
        <v>2003500</v>
      </c>
      <c r="J39" s="151" t="e">
        <f t="shared" si="11"/>
        <v>#DIV/0!</v>
      </c>
      <c r="K39" s="152">
        <f t="shared" si="12"/>
        <v>7.001709036530657</v>
      </c>
      <c r="L39" s="177">
        <v>492460</v>
      </c>
      <c r="M39" s="154">
        <f t="shared" si="13"/>
        <v>-73.69899594103823</v>
      </c>
      <c r="N39" s="155">
        <f t="shared" si="14"/>
        <v>12.224096523325514</v>
      </c>
      <c r="Q39" s="93">
        <v>929</v>
      </c>
      <c r="R39" s="227">
        <f t="shared" si="9"/>
        <v>1587.2907390384676</v>
      </c>
    </row>
    <row r="40" spans="1:18" ht="16.5">
      <c r="A40" s="93" t="s">
        <v>41</v>
      </c>
      <c r="B40" s="133" t="s">
        <v>24</v>
      </c>
      <c r="C40" s="179">
        <v>56713</v>
      </c>
      <c r="D40" s="36">
        <f>(55+15410+43886)/0.585274</f>
        <v>101407.20414711743</v>
      </c>
      <c r="E40" s="181">
        <f>15586+81644+444</f>
        <v>97674</v>
      </c>
      <c r="F40" s="176">
        <f t="shared" si="10"/>
        <v>-3.6813993428923055</v>
      </c>
      <c r="G40" s="149">
        <f>197220/0.585274</f>
        <v>336970.3762682094</v>
      </c>
      <c r="H40" s="150">
        <f t="shared" si="1"/>
        <v>2.1753806364303667</v>
      </c>
      <c r="I40" s="182">
        <f>198200/0.585274</f>
        <v>338644.8056807581</v>
      </c>
      <c r="J40" s="151" t="e">
        <f t="shared" si="11"/>
        <v>#DIV/0!</v>
      </c>
      <c r="K40" s="152">
        <f t="shared" si="12"/>
        <v>0.4969070074029025</v>
      </c>
      <c r="L40" s="177">
        <v>160000</v>
      </c>
      <c r="M40" s="154">
        <f t="shared" si="13"/>
        <v>-52.51808133049387</v>
      </c>
      <c r="N40" s="155">
        <f t="shared" si="14"/>
        <v>2.066197550169403</v>
      </c>
      <c r="Q40" s="93">
        <v>420</v>
      </c>
      <c r="R40" s="227">
        <f t="shared" si="9"/>
        <v>717.612605377994</v>
      </c>
    </row>
    <row r="41" spans="1:19" ht="16.5">
      <c r="A41" s="183" t="s">
        <v>42</v>
      </c>
      <c r="B41" s="133" t="s">
        <v>25</v>
      </c>
      <c r="C41" s="179">
        <v>12501</v>
      </c>
      <c r="D41" s="36">
        <f>9577/0.585274</f>
        <v>16363.276004059639</v>
      </c>
      <c r="E41" s="181">
        <v>16563</v>
      </c>
      <c r="F41" s="176">
        <f t="shared" si="10"/>
        <v>1.220562409940456</v>
      </c>
      <c r="G41" s="149">
        <v>52301.99872196613</v>
      </c>
      <c r="H41" s="150">
        <f t="shared" si="1"/>
        <v>0.337646165002383</v>
      </c>
      <c r="I41" s="181">
        <v>54660</v>
      </c>
      <c r="J41" s="151" t="e">
        <f t="shared" si="11"/>
        <v>#DIV/0!</v>
      </c>
      <c r="K41" s="152">
        <f t="shared" si="12"/>
        <v>4.508434353663704</v>
      </c>
      <c r="L41" s="177">
        <v>19720</v>
      </c>
      <c r="M41" s="154">
        <f t="shared" si="13"/>
        <v>-62.2958959851034</v>
      </c>
      <c r="N41" s="155">
        <f t="shared" si="14"/>
        <v>0.33350093135261916</v>
      </c>
      <c r="Q41" s="93">
        <v>37</v>
      </c>
      <c r="R41" s="227">
        <f t="shared" si="9"/>
        <v>63.218253330918515</v>
      </c>
      <c r="S41" s="227">
        <f>SUM(R33:R41)</f>
        <v>4958.361382873663</v>
      </c>
    </row>
    <row r="42" spans="1:18" ht="16.5">
      <c r="A42" s="93" t="s">
        <v>44</v>
      </c>
      <c r="B42" s="133" t="s">
        <v>26</v>
      </c>
      <c r="C42" s="184">
        <v>140242</v>
      </c>
      <c r="D42" s="36">
        <f>269644/0.585274</f>
        <v>460714.1270584376</v>
      </c>
      <c r="E42" s="181">
        <f>209026+278419+188490-E40-E41</f>
        <v>561698</v>
      </c>
      <c r="F42" s="176">
        <f t="shared" si="10"/>
        <v>21.91898772158845</v>
      </c>
      <c r="G42" s="149">
        <f>6798200-6467572</f>
        <v>330628</v>
      </c>
      <c r="H42" s="150">
        <f t="shared" si="1"/>
        <v>2.134436139541309</v>
      </c>
      <c r="I42" s="182">
        <f>7281900-6818005</f>
        <v>463895</v>
      </c>
      <c r="J42" s="151" t="e">
        <f t="shared" si="11"/>
        <v>#DIV/0!</v>
      </c>
      <c r="K42" s="152">
        <f t="shared" si="12"/>
        <v>40.30723350714398</v>
      </c>
      <c r="L42" s="177">
        <f>857820-L40</f>
        <v>697820</v>
      </c>
      <c r="M42" s="154">
        <f t="shared" si="13"/>
        <v>111.05895447451518</v>
      </c>
      <c r="N42" s="155">
        <f t="shared" si="14"/>
        <v>2.830395436330466</v>
      </c>
      <c r="R42" s="227"/>
    </row>
    <row r="43" spans="1:19" ht="16.5">
      <c r="A43" s="183" t="s">
        <v>53</v>
      </c>
      <c r="B43" s="166" t="s">
        <v>27</v>
      </c>
      <c r="C43" s="184">
        <v>64370</v>
      </c>
      <c r="D43" s="36">
        <f>(6638+12521)/0.585274</f>
        <v>32735.09501532616</v>
      </c>
      <c r="E43" s="181">
        <f>4209+10725</f>
        <v>14934</v>
      </c>
      <c r="F43" s="176">
        <f t="shared" si="10"/>
        <v>-54.37923735059241</v>
      </c>
      <c r="G43" s="149">
        <v>0</v>
      </c>
      <c r="H43" s="150">
        <f t="shared" si="1"/>
        <v>0</v>
      </c>
      <c r="I43" s="181">
        <v>0</v>
      </c>
      <c r="J43" s="151" t="e">
        <f t="shared" si="11"/>
        <v>#DIV/0!</v>
      </c>
      <c r="K43" s="152" t="e">
        <f t="shared" si="12"/>
        <v>#DIV/0!</v>
      </c>
      <c r="L43" s="177">
        <v>65000</v>
      </c>
      <c r="M43" s="154" t="e">
        <f t="shared" si="13"/>
        <v>#DIV/0!</v>
      </c>
      <c r="N43" s="155">
        <f t="shared" si="14"/>
        <v>0</v>
      </c>
      <c r="Q43" s="93">
        <f>SUM(Q22:Q41)</f>
        <v>12520</v>
      </c>
      <c r="R43" s="227">
        <f t="shared" si="9"/>
        <v>21391.690046029726</v>
      </c>
      <c r="S43" s="227">
        <f>+S41+S31</f>
        <v>21391.690046029726</v>
      </c>
    </row>
    <row r="44" spans="2:14" ht="16.5">
      <c r="B44" s="144" t="s">
        <v>35</v>
      </c>
      <c r="C44" s="185">
        <f>+C45+C46</f>
        <v>70847</v>
      </c>
      <c r="D44" s="37">
        <f>+D45+D46</f>
        <v>50990.15419786289</v>
      </c>
      <c r="E44" s="187">
        <f>+E45+E46</f>
        <v>53844</v>
      </c>
      <c r="F44" s="174">
        <f t="shared" si="10"/>
        <v>5.59685658345532</v>
      </c>
      <c r="G44" s="149">
        <f>+G45+G46</f>
        <v>592900</v>
      </c>
      <c r="H44" s="150">
        <f t="shared" si="1"/>
        <v>3.8275862514186403</v>
      </c>
      <c r="I44" s="187">
        <f>+I45+I46</f>
        <v>570100</v>
      </c>
      <c r="J44" s="151" t="e">
        <f t="shared" si="11"/>
        <v>#DIV/0!</v>
      </c>
      <c r="K44" s="152">
        <f t="shared" si="12"/>
        <v>-3.8455051442064403</v>
      </c>
      <c r="L44" s="153">
        <f>+L45+L46</f>
        <v>220760</v>
      </c>
      <c r="M44" s="154">
        <f t="shared" si="13"/>
        <v>-62.76606510372744</v>
      </c>
      <c r="N44" s="155">
        <f t="shared" si="14"/>
        <v>3.4783915287985403</v>
      </c>
    </row>
    <row r="45" spans="1:14" ht="16.5">
      <c r="A45" s="173">
        <v>31</v>
      </c>
      <c r="B45" s="133" t="s">
        <v>28</v>
      </c>
      <c r="C45" s="184">
        <v>53202</v>
      </c>
      <c r="D45" s="36">
        <f>32745/0.585274-4958</f>
        <v>50990.15419786289</v>
      </c>
      <c r="E45" s="181">
        <f>58989-24-182-4-59-1110-536-2497-685-48</f>
        <v>53844</v>
      </c>
      <c r="F45" s="176">
        <f t="shared" si="10"/>
        <v>5.59685658345532</v>
      </c>
      <c r="G45" s="149">
        <v>476600</v>
      </c>
      <c r="H45" s="150">
        <f t="shared" si="1"/>
        <v>3.076788003754637</v>
      </c>
      <c r="I45" s="181">
        <v>505200</v>
      </c>
      <c r="J45" s="151" t="e">
        <f t="shared" si="11"/>
        <v>#DIV/0!</v>
      </c>
      <c r="K45" s="152">
        <f t="shared" si="12"/>
        <v>6.0008392782207265</v>
      </c>
      <c r="L45" s="177">
        <v>220760</v>
      </c>
      <c r="M45" s="154">
        <f t="shared" si="13"/>
        <v>-53.6802349979018</v>
      </c>
      <c r="N45" s="155">
        <f t="shared" si="14"/>
        <v>3.0824125598123526</v>
      </c>
    </row>
    <row r="46" spans="2:17" ht="16.5">
      <c r="B46" s="133" t="s">
        <v>29</v>
      </c>
      <c r="C46" s="184">
        <f>11749+5896</f>
        <v>17645</v>
      </c>
      <c r="D46" s="36">
        <v>0</v>
      </c>
      <c r="E46" s="181">
        <v>0</v>
      </c>
      <c r="F46" s="176">
        <v>0</v>
      </c>
      <c r="G46" s="149">
        <v>116300</v>
      </c>
      <c r="H46" s="150">
        <f t="shared" si="1"/>
        <v>0.7507982476640039</v>
      </c>
      <c r="I46" s="181">
        <v>64900</v>
      </c>
      <c r="J46" s="151" t="e">
        <f t="shared" si="11"/>
        <v>#DIV/0!</v>
      </c>
      <c r="K46" s="152">
        <f t="shared" si="12"/>
        <v>-44.196044711951856</v>
      </c>
      <c r="L46" s="177">
        <v>0</v>
      </c>
      <c r="M46" s="189">
        <v>0</v>
      </c>
      <c r="N46" s="155">
        <f t="shared" si="14"/>
        <v>0.39597896898618706</v>
      </c>
      <c r="Q46" s="227"/>
    </row>
    <row r="47" spans="2:14" ht="16.5">
      <c r="B47" s="144" t="s">
        <v>30</v>
      </c>
      <c r="C47" s="185">
        <v>7642</v>
      </c>
      <c r="D47" s="37">
        <v>0</v>
      </c>
      <c r="E47" s="187">
        <v>0</v>
      </c>
      <c r="F47" s="174"/>
      <c r="G47" s="149">
        <v>0</v>
      </c>
      <c r="H47" s="150">
        <f t="shared" si="1"/>
        <v>0</v>
      </c>
      <c r="I47" s="187">
        <v>0</v>
      </c>
      <c r="J47" s="175"/>
      <c r="K47" s="188"/>
      <c r="L47" s="158"/>
      <c r="M47" s="158"/>
      <c r="N47" s="155">
        <f t="shared" si="14"/>
        <v>0</v>
      </c>
    </row>
    <row r="48" spans="2:14" ht="16.5">
      <c r="B48" s="166"/>
      <c r="C48" s="184"/>
      <c r="D48" s="168"/>
      <c r="E48" s="169"/>
      <c r="F48" s="167"/>
      <c r="G48" s="149"/>
      <c r="H48" s="150"/>
      <c r="I48" s="169"/>
      <c r="J48" s="190"/>
      <c r="K48" s="172"/>
      <c r="L48" s="158"/>
      <c r="M48" s="158"/>
      <c r="N48" s="155"/>
    </row>
    <row r="49" spans="2:14" ht="16.5">
      <c r="B49" s="144" t="s">
        <v>31</v>
      </c>
      <c r="C49" s="185">
        <f>+C13+C29-C34</f>
        <v>-22531</v>
      </c>
      <c r="D49" s="186">
        <f>+D13+D29-D34</f>
        <v>191269.05969169992</v>
      </c>
      <c r="E49" s="187">
        <f>+E13+E29-E34</f>
        <v>107714</v>
      </c>
      <c r="F49" s="174"/>
      <c r="G49" s="149">
        <f>+G13+G29-G34</f>
        <v>1086899.4058270138</v>
      </c>
      <c r="H49" s="150">
        <f t="shared" si="1"/>
        <v>7.016699649887954</v>
      </c>
      <c r="I49" s="187">
        <f>+I13+I29-I34</f>
        <v>732600.1943192417</v>
      </c>
      <c r="J49" s="151" t="e">
        <f>+I49/1000/$K$59*100</f>
        <v>#DIV/0!</v>
      </c>
      <c r="K49" s="152">
        <f>(+I49/G49-1)*100</f>
        <v>-32.59724033414007</v>
      </c>
      <c r="L49" s="153">
        <f>+L13+L29-L34</f>
        <v>24210</v>
      </c>
      <c r="M49" s="158"/>
      <c r="N49" s="155">
        <f>+I49/1000/$I$59*100</f>
        <v>4.46986547959343</v>
      </c>
    </row>
    <row r="50" spans="2:14" ht="16.5">
      <c r="B50" s="144"/>
      <c r="C50" s="191"/>
      <c r="D50" s="192"/>
      <c r="E50" s="193"/>
      <c r="F50" s="167"/>
      <c r="G50" s="149"/>
      <c r="H50" s="150"/>
      <c r="I50" s="193"/>
      <c r="J50" s="194"/>
      <c r="K50" s="172"/>
      <c r="L50" s="195"/>
      <c r="M50" s="158"/>
      <c r="N50" s="155"/>
    </row>
    <row r="51" spans="2:14" ht="16.5">
      <c r="B51" s="144" t="s">
        <v>32</v>
      </c>
      <c r="C51" s="185">
        <f>+C10-C31</f>
        <v>-100665</v>
      </c>
      <c r="D51" s="186">
        <f>+D10-D31</f>
        <v>140278.90549383708</v>
      </c>
      <c r="E51" s="187">
        <f>+E10-E31</f>
        <v>53870</v>
      </c>
      <c r="F51" s="167"/>
      <c r="G51" s="149">
        <f>+G10-G31</f>
        <v>505499.4058270138</v>
      </c>
      <c r="H51" s="150">
        <f t="shared" si="1"/>
        <v>3.2633539818582724</v>
      </c>
      <c r="I51" s="187">
        <f>+I10-I31</f>
        <v>162500.19431924168</v>
      </c>
      <c r="J51" s="151" t="e">
        <f>+I51/1000/$K$59*100</f>
        <v>#DIV/0!</v>
      </c>
      <c r="K51" s="172"/>
      <c r="L51" s="153" t="e">
        <f>+L10-L31</f>
        <v>#DIV/0!</v>
      </c>
      <c r="M51" s="158"/>
      <c r="N51" s="155">
        <f>+I51/1000/$I$59*100</f>
        <v>0.9914739507948901</v>
      </c>
    </row>
    <row r="52" spans="2:14" ht="16.5">
      <c r="B52" s="144" t="s">
        <v>22</v>
      </c>
      <c r="C52" s="196">
        <f>+C51/1000/C59*100</f>
        <v>-1.6339068333062816</v>
      </c>
      <c r="D52" s="197">
        <f>+D51/1000/D59*100</f>
        <v>0.9055977682266018</v>
      </c>
      <c r="E52" s="198">
        <f>+E51/1000/E59*100</f>
        <v>0.3286808483711232</v>
      </c>
      <c r="F52" s="196"/>
      <c r="G52" s="199">
        <f>+G51/1000/G59*100</f>
        <v>3.2633539818582724</v>
      </c>
      <c r="H52" s="200"/>
      <c r="I52" s="198">
        <f>+I51/1000/I59*100</f>
        <v>0.9914739507948901</v>
      </c>
      <c r="J52" s="151"/>
      <c r="K52" s="172"/>
      <c r="L52" s="154" t="e">
        <f>+L51/1000/M59*100</f>
        <v>#DIV/0!</v>
      </c>
      <c r="M52" s="158"/>
      <c r="N52" s="143"/>
    </row>
    <row r="53" spans="2:14" ht="16.5">
      <c r="B53" s="144"/>
      <c r="C53" s="191"/>
      <c r="D53" s="201"/>
      <c r="E53" s="202"/>
      <c r="F53" s="167"/>
      <c r="G53" s="149"/>
      <c r="H53" s="203"/>
      <c r="I53" s="202"/>
      <c r="J53" s="190"/>
      <c r="K53" s="172"/>
      <c r="L53" s="157"/>
      <c r="M53" s="158"/>
      <c r="N53" s="143"/>
    </row>
    <row r="54" spans="2:14" ht="16.5">
      <c r="B54" s="144" t="s">
        <v>33</v>
      </c>
      <c r="C54" s="204">
        <f>+C51+C38</f>
        <v>55061</v>
      </c>
      <c r="D54" s="192">
        <f>+D51+D38</f>
        <v>336723.64761462156</v>
      </c>
      <c r="E54" s="193">
        <f>+E51+E38</f>
        <v>254474</v>
      </c>
      <c r="F54" s="167"/>
      <c r="G54" s="149">
        <v>1051058.1368726443</v>
      </c>
      <c r="H54" s="205"/>
      <c r="I54" s="193">
        <f>+I51+I38</f>
        <v>661600.1943192417</v>
      </c>
      <c r="J54" s="206"/>
      <c r="K54" s="172"/>
      <c r="L54" s="195" t="e">
        <f>+L51+L38</f>
        <v>#DIV/0!</v>
      </c>
      <c r="M54" s="158"/>
      <c r="N54" s="143"/>
    </row>
    <row r="55" spans="2:14" ht="17.25" thickBot="1">
      <c r="B55" s="207"/>
      <c r="C55" s="171"/>
      <c r="D55" s="208"/>
      <c r="E55" s="209"/>
      <c r="F55" s="171"/>
      <c r="G55" s="210"/>
      <c r="H55" s="211"/>
      <c r="I55" s="212"/>
      <c r="J55" s="213"/>
      <c r="K55" s="214"/>
      <c r="L55" s="215"/>
      <c r="M55" s="215"/>
      <c r="N55" s="216"/>
    </row>
    <row r="56" spans="2:11" ht="17.25" thickTop="1">
      <c r="B56" s="217"/>
      <c r="C56" s="218"/>
      <c r="D56" s="217"/>
      <c r="E56" s="217"/>
      <c r="F56" s="217"/>
      <c r="G56" s="217"/>
      <c r="H56" s="219"/>
      <c r="I56" s="217"/>
      <c r="J56" s="217"/>
      <c r="K56" s="219"/>
    </row>
    <row r="57" spans="2:4" ht="16.5">
      <c r="B57" s="220" t="s">
        <v>40</v>
      </c>
      <c r="D57" s="221"/>
    </row>
    <row r="58" spans="2:4" ht="16.5">
      <c r="B58" s="99"/>
      <c r="D58" s="221"/>
    </row>
    <row r="59" spans="2:14" ht="16.5">
      <c r="B59" s="220" t="s">
        <v>62</v>
      </c>
      <c r="C59" s="222">
        <v>6161</v>
      </c>
      <c r="D59" s="223">
        <v>15490.2</v>
      </c>
      <c r="E59" s="223">
        <f>9592.5/0.585274</f>
        <v>16389.75932640097</v>
      </c>
      <c r="F59" s="223"/>
      <c r="G59" s="223">
        <v>15490.18</v>
      </c>
      <c r="H59" s="224"/>
      <c r="I59" s="223">
        <f>9592.5/0.585274</f>
        <v>16389.75932640097</v>
      </c>
      <c r="J59" s="225">
        <v>8260.3</v>
      </c>
      <c r="K59" s="226"/>
      <c r="L59" s="226"/>
      <c r="M59" s="226"/>
      <c r="N59" s="224"/>
    </row>
    <row r="60" ht="16.5">
      <c r="B60" s="99"/>
    </row>
    <row r="61" ht="16.5">
      <c r="B61" s="220"/>
    </row>
    <row r="63" ht="18" customHeight="1">
      <c r="B63" s="222"/>
    </row>
    <row r="64" ht="18" customHeight="1"/>
    <row r="65" ht="18" customHeight="1"/>
    <row r="66" ht="18" customHeight="1"/>
    <row r="67" ht="18" customHeight="1"/>
  </sheetData>
  <mergeCells count="2">
    <mergeCell ref="I4:N4"/>
    <mergeCell ref="B1:N1"/>
  </mergeCells>
  <printOptions horizontalCentered="1" verticalCentered="1"/>
  <pageMargins left="0.17" right="0.18" top="0.51" bottom="0.5118110236220472" header="0.54" footer="0.5118110236220472"/>
  <pageSetup horizontalDpi="600" verticalDpi="600" orientation="portrait" paperSize="9" scale="75" r:id="rId3"/>
  <headerFooter alignWithMargins="0">
    <oddFooter>&amp;L&amp;D&amp;R&amp;F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2"/>
  <sheetViews>
    <sheetView zoomScale="75" zoomScaleNormal="75" workbookViewId="0" topLeftCell="A27">
      <selection activeCell="N53" sqref="N53"/>
    </sheetView>
  </sheetViews>
  <sheetFormatPr defaultColWidth="9.140625" defaultRowHeight="12.75"/>
  <cols>
    <col min="1" max="1" width="8.8515625" style="93" customWidth="1"/>
    <col min="2" max="2" width="35.00390625" style="93" customWidth="1"/>
    <col min="3" max="3" width="0.9921875" style="93" hidden="1" customWidth="1"/>
    <col min="4" max="5" width="12.8515625" style="93" bestFit="1" customWidth="1"/>
    <col min="6" max="6" width="10.00390625" style="93" bestFit="1" customWidth="1"/>
    <col min="7" max="7" width="14.00390625" style="93" bestFit="1" customWidth="1"/>
    <col min="8" max="8" width="12.140625" style="95" customWidth="1"/>
    <col min="9" max="9" width="12.421875" style="93" customWidth="1"/>
    <col min="10" max="10" width="9.140625" style="93" hidden="1" customWidth="1"/>
    <col min="11" max="11" width="12.00390625" style="95" customWidth="1"/>
    <col min="12" max="12" width="14.7109375" style="95" hidden="1" customWidth="1"/>
    <col min="13" max="13" width="9.421875" style="95" hidden="1" customWidth="1"/>
    <col min="14" max="14" width="12.140625" style="96" customWidth="1"/>
    <col min="15" max="15" width="5.421875" style="93" customWidth="1"/>
    <col min="16" max="16" width="12.140625" style="93" customWidth="1"/>
    <col min="17" max="17" width="12.57421875" style="227" customWidth="1"/>
    <col min="18" max="18" width="12.140625" style="93" bestFit="1" customWidth="1"/>
    <col min="19" max="16384" width="8.8515625" style="93" customWidth="1"/>
  </cols>
  <sheetData>
    <row r="1" spans="2:14" ht="19.5">
      <c r="B1" s="363" t="s">
        <v>63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</row>
    <row r="2" spans="2:11" ht="17.25" thickBot="1">
      <c r="B2" s="97"/>
      <c r="C2" s="98"/>
      <c r="D2" s="99"/>
      <c r="E2" s="99"/>
      <c r="F2" s="99"/>
      <c r="G2" s="99"/>
      <c r="H2" s="100"/>
      <c r="I2" s="99"/>
      <c r="J2" s="99"/>
      <c r="K2" s="100"/>
    </row>
    <row r="3" spans="2:14" ht="15.75" thickBot="1">
      <c r="B3" s="101"/>
      <c r="C3" s="102"/>
      <c r="D3" s="101"/>
      <c r="E3" s="103"/>
      <c r="F3" s="104"/>
      <c r="G3" s="105"/>
      <c r="H3" s="106"/>
      <c r="I3" s="360" t="s">
        <v>66</v>
      </c>
      <c r="J3" s="361"/>
      <c r="K3" s="361"/>
      <c r="L3" s="361"/>
      <c r="M3" s="361"/>
      <c r="N3" s="362"/>
    </row>
    <row r="4" spans="2:14" ht="16.5">
      <c r="B4" s="107"/>
      <c r="C4" s="108"/>
      <c r="D4" s="109" t="s">
        <v>70</v>
      </c>
      <c r="E4" s="110" t="s">
        <v>70</v>
      </c>
      <c r="F4" s="111" t="s">
        <v>16</v>
      </c>
      <c r="G4" s="112" t="s">
        <v>48</v>
      </c>
      <c r="H4" s="113">
        <v>2007</v>
      </c>
      <c r="I4" s="114">
        <v>2008</v>
      </c>
      <c r="J4" s="115" t="s">
        <v>46</v>
      </c>
      <c r="K4" s="116" t="s">
        <v>43</v>
      </c>
      <c r="L4" s="117" t="s">
        <v>45</v>
      </c>
      <c r="M4" s="115" t="s">
        <v>43</v>
      </c>
      <c r="N4" s="113">
        <v>2008</v>
      </c>
    </row>
    <row r="5" spans="2:14" ht="16.5">
      <c r="B5" s="107"/>
      <c r="C5" s="108"/>
      <c r="D5" s="109">
        <v>2007</v>
      </c>
      <c r="E5" s="118">
        <v>2008</v>
      </c>
      <c r="F5" s="115"/>
      <c r="G5" s="112">
        <v>2007</v>
      </c>
      <c r="H5" s="113" t="s">
        <v>57</v>
      </c>
      <c r="I5" s="114"/>
      <c r="J5" s="115" t="s">
        <v>47</v>
      </c>
      <c r="K5" s="116" t="s">
        <v>16</v>
      </c>
      <c r="L5" s="117">
        <v>2006</v>
      </c>
      <c r="M5" s="115" t="s">
        <v>16</v>
      </c>
      <c r="N5" s="113" t="s">
        <v>61</v>
      </c>
    </row>
    <row r="6" spans="2:14" ht="16.5">
      <c r="B6" s="107"/>
      <c r="C6" s="108">
        <v>2002</v>
      </c>
      <c r="D6" s="109" t="s">
        <v>64</v>
      </c>
      <c r="E6" s="118" t="s">
        <v>64</v>
      </c>
      <c r="F6" s="108" t="s">
        <v>59</v>
      </c>
      <c r="G6" s="119" t="s">
        <v>64</v>
      </c>
      <c r="H6" s="113" t="s">
        <v>55</v>
      </c>
      <c r="I6" s="118" t="s">
        <v>64</v>
      </c>
      <c r="J6" s="115">
        <v>2003</v>
      </c>
      <c r="K6" s="116" t="s">
        <v>60</v>
      </c>
      <c r="L6" s="117"/>
      <c r="M6" s="115" t="s">
        <v>52</v>
      </c>
      <c r="N6" s="113" t="s">
        <v>55</v>
      </c>
    </row>
    <row r="7" spans="2:14" ht="17.25" thickBot="1">
      <c r="B7" s="120"/>
      <c r="C7" s="121"/>
      <c r="D7" s="122"/>
      <c r="E7" s="123"/>
      <c r="F7" s="124"/>
      <c r="G7" s="125"/>
      <c r="H7" s="126"/>
      <c r="I7" s="127"/>
      <c r="J7" s="128"/>
      <c r="K7" s="129"/>
      <c r="L7" s="130"/>
      <c r="M7" s="131"/>
      <c r="N7" s="132"/>
    </row>
    <row r="8" spans="2:14" ht="16.5">
      <c r="B8" s="133"/>
      <c r="C8" s="98"/>
      <c r="D8" s="134"/>
      <c r="E8" s="135"/>
      <c r="F8" s="136"/>
      <c r="G8" s="137"/>
      <c r="H8" s="138"/>
      <c r="I8" s="139"/>
      <c r="J8" s="140"/>
      <c r="K8" s="141"/>
      <c r="L8" s="142"/>
      <c r="M8" s="142"/>
      <c r="N8" s="143"/>
    </row>
    <row r="9" spans="2:16" ht="16.5">
      <c r="B9" s="144" t="s">
        <v>1</v>
      </c>
      <c r="C9" s="145">
        <f>C11+C28</f>
        <v>915767</v>
      </c>
      <c r="D9" s="32">
        <f>D11+D28</f>
        <v>2250908.1216660915</v>
      </c>
      <c r="E9" s="147">
        <f>E11+E28</f>
        <v>2368581</v>
      </c>
      <c r="F9" s="148">
        <f>(+E9/D9)*100-100</f>
        <v>5.227795715038283</v>
      </c>
      <c r="G9" s="149">
        <f>G11+G28</f>
        <v>7303699.78081719</v>
      </c>
      <c r="H9" s="150">
        <f>+G9/1000/$G$58*100</f>
        <v>47.150515880494545</v>
      </c>
      <c r="I9" s="147">
        <f>I11+I28</f>
        <v>7547962.553029789</v>
      </c>
      <c r="J9" s="151" t="e">
        <f>+I9/1000/$K$58*100</f>
        <v>#DIV/0!</v>
      </c>
      <c r="K9" s="152">
        <f>(+I9/G9-1)*100</f>
        <v>3.344370381353068</v>
      </c>
      <c r="L9" s="153" t="e">
        <f>+L11+L28</f>
        <v>#DIV/0!</v>
      </c>
      <c r="M9" s="154" t="e">
        <f>(L9/G9-1)*100</f>
        <v>#DIV/0!</v>
      </c>
      <c r="N9" s="155">
        <f>+I9/1000/$I$58*100</f>
        <v>46.05291879345276</v>
      </c>
      <c r="P9" s="64">
        <f>P11+P28</f>
        <v>1317398</v>
      </c>
    </row>
    <row r="10" spans="2:16" ht="16.5">
      <c r="B10" s="144"/>
      <c r="C10" s="145"/>
      <c r="D10" s="32"/>
      <c r="E10" s="147"/>
      <c r="F10" s="148"/>
      <c r="G10" s="149"/>
      <c r="H10" s="150"/>
      <c r="I10" s="147"/>
      <c r="J10" s="156"/>
      <c r="K10" s="152"/>
      <c r="L10" s="157"/>
      <c r="M10" s="158"/>
      <c r="N10" s="155"/>
      <c r="P10" s="64"/>
    </row>
    <row r="11" spans="2:16" ht="16.5">
      <c r="B11" s="144" t="s">
        <v>2</v>
      </c>
      <c r="C11" s="145">
        <f>C12+C27</f>
        <v>915200</v>
      </c>
      <c r="D11" s="32">
        <f>D12+D27</f>
        <v>2242182.2941049836</v>
      </c>
      <c r="E11" s="147">
        <f>E12+E27</f>
        <v>2360973</v>
      </c>
      <c r="F11" s="148">
        <f aca="true" t="shared" si="0" ref="F11:F16">(+E11/D11)*100-100</f>
        <v>5.297995002785186</v>
      </c>
      <c r="G11" s="149">
        <f>G12+G27</f>
        <v>7303699.78081719</v>
      </c>
      <c r="H11" s="150">
        <f aca="true" t="shared" si="1" ref="H11:H50">+G11/1000/$G$58*100</f>
        <v>47.150515880494545</v>
      </c>
      <c r="I11" s="147">
        <f>I12+I27</f>
        <v>7547962.553029789</v>
      </c>
      <c r="J11" s="151" t="e">
        <f>+I11/1000/$K$58*100</f>
        <v>#DIV/0!</v>
      </c>
      <c r="K11" s="152">
        <f aca="true" t="shared" si="2" ref="K11:K16">(+I11/G11-1)*100</f>
        <v>3.344370381353068</v>
      </c>
      <c r="L11" s="153" t="e">
        <f>+L12+L27</f>
        <v>#DIV/0!</v>
      </c>
      <c r="M11" s="154" t="e">
        <f aca="true" t="shared" si="3" ref="M11:M16">(L11/G11-1)*100</f>
        <v>#DIV/0!</v>
      </c>
      <c r="N11" s="155">
        <f aca="true" t="shared" si="4" ref="N11:N23">+I11/1000/$I$58*100</f>
        <v>46.05291879345276</v>
      </c>
      <c r="P11" s="64">
        <f>P12+P27</f>
        <v>1312291</v>
      </c>
    </row>
    <row r="12" spans="2:16" ht="16.5">
      <c r="B12" s="144" t="s">
        <v>3</v>
      </c>
      <c r="C12" s="145">
        <f>C13+C26</f>
        <v>914845</v>
      </c>
      <c r="D12" s="32">
        <f>D13+D26</f>
        <v>2242182.2941049836</v>
      </c>
      <c r="E12" s="147">
        <f>E13+E26</f>
        <v>2360973</v>
      </c>
      <c r="F12" s="148">
        <f t="shared" si="0"/>
        <v>5.297995002785186</v>
      </c>
      <c r="G12" s="149">
        <f>G13+G26</f>
        <v>7292199.78081719</v>
      </c>
      <c r="H12" s="150">
        <f t="shared" si="1"/>
        <v>47.07627529710558</v>
      </c>
      <c r="I12" s="147">
        <f>I13+I26</f>
        <v>7547962.553029789</v>
      </c>
      <c r="J12" s="151" t="e">
        <f aca="true" t="shared" si="5" ref="J12:J23">+I12/1000/$K$58*100</f>
        <v>#DIV/0!</v>
      </c>
      <c r="K12" s="152">
        <f t="shared" si="2"/>
        <v>3.507347301227348</v>
      </c>
      <c r="L12" s="153">
        <f>+L13+L26</f>
        <v>2824200</v>
      </c>
      <c r="M12" s="154">
        <f t="shared" si="3"/>
        <v>-61.27094587521695</v>
      </c>
      <c r="N12" s="155">
        <f t="shared" si="4"/>
        <v>46.05291879345276</v>
      </c>
      <c r="P12" s="64">
        <f>P13+P26</f>
        <v>1312291</v>
      </c>
    </row>
    <row r="13" spans="2:16" ht="16.5">
      <c r="B13" s="144" t="s">
        <v>4</v>
      </c>
      <c r="C13" s="145">
        <f>C14+C18+C25</f>
        <v>788907</v>
      </c>
      <c r="D13" s="32">
        <f>D14+D18+D25</f>
        <v>1985803.2306236054</v>
      </c>
      <c r="E13" s="147">
        <f>E14+E18+E25</f>
        <v>2118583</v>
      </c>
      <c r="F13" s="148">
        <f t="shared" si="0"/>
        <v>6.68645147357816</v>
      </c>
      <c r="G13" s="149">
        <f>G14+G18+G25</f>
        <v>6537699.78081719</v>
      </c>
      <c r="H13" s="150">
        <f t="shared" si="1"/>
        <v>42.20544745649947</v>
      </c>
      <c r="I13" s="147">
        <f>I14+I18+I25</f>
        <v>6838958.903029788</v>
      </c>
      <c r="J13" s="151" t="e">
        <f t="shared" si="5"/>
        <v>#DIV/0!</v>
      </c>
      <c r="K13" s="152">
        <f t="shared" si="2"/>
        <v>4.608029311724393</v>
      </c>
      <c r="L13" s="153">
        <f>+L14+L18+L25</f>
        <v>2442200</v>
      </c>
      <c r="M13" s="154">
        <f t="shared" si="3"/>
        <v>-62.64435379602682</v>
      </c>
      <c r="N13" s="155">
        <f t="shared" si="4"/>
        <v>41.72702458182805</v>
      </c>
      <c r="P13" s="64">
        <f>P14+P18+P25</f>
        <v>1162239</v>
      </c>
    </row>
    <row r="14" spans="2:16" ht="16.5">
      <c r="B14" s="144" t="s">
        <v>5</v>
      </c>
      <c r="C14" s="145">
        <f>C15+C16</f>
        <v>267215</v>
      </c>
      <c r="D14" s="32">
        <f>D15+D16</f>
        <v>709518.960350195</v>
      </c>
      <c r="E14" s="147">
        <f>E15+E16</f>
        <v>651452</v>
      </c>
      <c r="F14" s="148">
        <f t="shared" si="0"/>
        <v>-8.183989941795915</v>
      </c>
      <c r="G14" s="149">
        <f>G15+G16</f>
        <v>2176000</v>
      </c>
      <c r="H14" s="150">
        <f t="shared" si="1"/>
        <v>14.047609517771903</v>
      </c>
      <c r="I14" s="147">
        <f>I15+I16</f>
        <v>2085297.644</v>
      </c>
      <c r="J14" s="151" t="e">
        <f t="shared" si="5"/>
        <v>#DIV/0!</v>
      </c>
      <c r="K14" s="152">
        <f t="shared" si="2"/>
        <v>-4.168306801470589</v>
      </c>
      <c r="L14" s="153">
        <f>+L15+L16</f>
        <v>798200</v>
      </c>
      <c r="M14" s="154">
        <f t="shared" si="3"/>
        <v>-63.318014705882355</v>
      </c>
      <c r="N14" s="155">
        <f t="shared" si="4"/>
        <v>12.723174285060788</v>
      </c>
      <c r="P14" s="64">
        <f>P15+P16</f>
        <v>415263</v>
      </c>
    </row>
    <row r="15" spans="2:16" ht="16.5">
      <c r="B15" s="144" t="s">
        <v>6</v>
      </c>
      <c r="C15" s="145">
        <v>191033</v>
      </c>
      <c r="D15" s="32">
        <f>+P15/0.585274</f>
        <v>442869.49360470485</v>
      </c>
      <c r="E15" s="147">
        <f>410414+9597</f>
        <v>420011</v>
      </c>
      <c r="F15" s="148">
        <f t="shared" si="0"/>
        <v>-5.161451383487673</v>
      </c>
      <c r="G15" s="149">
        <v>1680040</v>
      </c>
      <c r="H15" s="150">
        <f t="shared" si="1"/>
        <v>10.845839105807679</v>
      </c>
      <c r="I15" s="229">
        <f>+G15*(0.9221)</f>
        <v>1549164.884</v>
      </c>
      <c r="J15" s="151" t="e">
        <f t="shared" si="5"/>
        <v>#DIV/0!</v>
      </c>
      <c r="K15" s="152">
        <f t="shared" si="2"/>
        <v>-7.789999999999997</v>
      </c>
      <c r="L15" s="153">
        <f>-5000+502900</f>
        <v>497900</v>
      </c>
      <c r="M15" s="154">
        <f t="shared" si="3"/>
        <v>-70.36380086188424</v>
      </c>
      <c r="N15" s="155">
        <f t="shared" si="4"/>
        <v>9.45202948468299</v>
      </c>
      <c r="P15" s="64">
        <f>256972+2228</f>
        <v>259200</v>
      </c>
    </row>
    <row r="16" spans="2:16" ht="16.5">
      <c r="B16" s="144" t="s">
        <v>7</v>
      </c>
      <c r="C16" s="145">
        <v>76182</v>
      </c>
      <c r="D16" s="32">
        <f>+P16/0.585274</f>
        <v>266649.46674549015</v>
      </c>
      <c r="E16" s="147">
        <f>35740+18291+177410</f>
        <v>231441</v>
      </c>
      <c r="F16" s="148">
        <f t="shared" si="0"/>
        <v>-13.204026685377059</v>
      </c>
      <c r="G16" s="149">
        <f>2176000-1680040</f>
        <v>495960</v>
      </c>
      <c r="H16" s="150">
        <f t="shared" si="1"/>
        <v>3.2017704119642247</v>
      </c>
      <c r="I16" s="229">
        <f>+G16*1.081</f>
        <v>536132.76</v>
      </c>
      <c r="J16" s="151" t="e">
        <f t="shared" si="5"/>
        <v>#DIV/0!</v>
      </c>
      <c r="K16" s="152">
        <f t="shared" si="2"/>
        <v>8.099999999999996</v>
      </c>
      <c r="L16" s="153">
        <f>308300-8000</f>
        <v>300300</v>
      </c>
      <c r="M16" s="154">
        <f t="shared" si="3"/>
        <v>-39.450762158238575</v>
      </c>
      <c r="N16" s="155">
        <f t="shared" si="4"/>
        <v>3.2711448003777948</v>
      </c>
      <c r="P16" s="64">
        <f>23924+44677+87462</f>
        <v>156063</v>
      </c>
    </row>
    <row r="17" spans="2:16" ht="16.5">
      <c r="B17" s="133"/>
      <c r="C17" s="160"/>
      <c r="D17" s="33"/>
      <c r="E17" s="162"/>
      <c r="F17" s="163"/>
      <c r="G17" s="149"/>
      <c r="H17" s="150"/>
      <c r="I17" s="147"/>
      <c r="J17" s="164"/>
      <c r="K17" s="165"/>
      <c r="L17" s="158"/>
      <c r="M17" s="158"/>
      <c r="N17" s="155">
        <f t="shared" si="4"/>
        <v>0</v>
      </c>
      <c r="P17" s="65"/>
    </row>
    <row r="18" spans="2:16" ht="16.5">
      <c r="B18" s="144" t="s">
        <v>9</v>
      </c>
      <c r="C18" s="145">
        <f>C19+C20</f>
        <v>371674</v>
      </c>
      <c r="D18" s="32">
        <f>D19+D20</f>
        <v>988701.0186681795</v>
      </c>
      <c r="E18" s="147">
        <f>E19+E20</f>
        <v>1107179</v>
      </c>
      <c r="F18" s="148">
        <f aca="true" t="shared" si="6" ref="F18:F23">(+E18/D18)*100-100</f>
        <v>11.983196041551068</v>
      </c>
      <c r="G18" s="149">
        <f>G19+G20</f>
        <v>3113899.78081719</v>
      </c>
      <c r="H18" s="150">
        <f t="shared" si="1"/>
        <v>20.10241185588024</v>
      </c>
      <c r="I18" s="147">
        <f>I19+I20</f>
        <v>3415021.419029788</v>
      </c>
      <c r="J18" s="151" t="e">
        <f t="shared" si="5"/>
        <v>#DIV/0!</v>
      </c>
      <c r="K18" s="152">
        <f aca="true" t="shared" si="7" ref="K18:K23">(+I18/G18-1)*100</f>
        <v>9.670241799932743</v>
      </c>
      <c r="L18" s="153">
        <f>+L19+L20</f>
        <v>1207200</v>
      </c>
      <c r="M18" s="154">
        <f aca="true" t="shared" si="8" ref="M18:M23">(L18/G18-1)*100</f>
        <v>-61.23189296467368</v>
      </c>
      <c r="N18" s="155">
        <f t="shared" si="4"/>
        <v>20.836312181404637</v>
      </c>
      <c r="P18" s="64">
        <f>P19+P20</f>
        <v>578661</v>
      </c>
    </row>
    <row r="19" spans="2:16" ht="16.5">
      <c r="B19" s="144" t="s">
        <v>10</v>
      </c>
      <c r="C19" s="145">
        <v>36073</v>
      </c>
      <c r="D19" s="32">
        <f>+P19/0.585274</f>
        <v>15302.234508965033</v>
      </c>
      <c r="E19" s="147">
        <f>3726+22701</f>
        <v>26427</v>
      </c>
      <c r="F19" s="148">
        <f t="shared" si="6"/>
        <v>72.70026795444394</v>
      </c>
      <c r="G19" s="149">
        <v>50220</v>
      </c>
      <c r="H19" s="150">
        <f t="shared" si="1"/>
        <v>0.3242053998081365</v>
      </c>
      <c r="I19" s="229">
        <f>+G19*1.3</f>
        <v>65286</v>
      </c>
      <c r="J19" s="151" t="e">
        <f t="shared" si="5"/>
        <v>#DIV/0!</v>
      </c>
      <c r="K19" s="152">
        <f t="shared" si="7"/>
        <v>30.000000000000004</v>
      </c>
      <c r="L19" s="153">
        <v>26700</v>
      </c>
      <c r="M19" s="154">
        <f t="shared" si="8"/>
        <v>-46.83393070489845</v>
      </c>
      <c r="N19" s="155">
        <f t="shared" si="4"/>
        <v>0.3983340981391712</v>
      </c>
      <c r="P19" s="64">
        <f>11956-3000</f>
        <v>8956</v>
      </c>
    </row>
    <row r="20" spans="2:16" ht="16.5">
      <c r="B20" s="144" t="s">
        <v>11</v>
      </c>
      <c r="C20" s="145">
        <v>335601</v>
      </c>
      <c r="D20" s="32">
        <f>SUM(D21:D23)</f>
        <v>973398.7841592145</v>
      </c>
      <c r="E20" s="147">
        <f>SUM(E21:E23)</f>
        <v>1080752</v>
      </c>
      <c r="F20" s="148">
        <f t="shared" si="6"/>
        <v>11.028698369858063</v>
      </c>
      <c r="G20" s="149">
        <f>SUM(G21:G23)</f>
        <v>3063679.78081719</v>
      </c>
      <c r="H20" s="150">
        <f t="shared" si="1"/>
        <v>19.778206456072105</v>
      </c>
      <c r="I20" s="147">
        <f>SUM(I21:I23)</f>
        <v>3349735.419029788</v>
      </c>
      <c r="J20" s="151" t="e">
        <f t="shared" si="5"/>
        <v>#DIV/0!</v>
      </c>
      <c r="K20" s="152">
        <f t="shared" si="7"/>
        <v>9.33699533494643</v>
      </c>
      <c r="L20" s="153">
        <f>+L21+L22+L23</f>
        <v>1180500</v>
      </c>
      <c r="M20" s="154">
        <f t="shared" si="8"/>
        <v>-61.467905118820234</v>
      </c>
      <c r="N20" s="155">
        <f t="shared" si="4"/>
        <v>20.437978083265467</v>
      </c>
      <c r="P20" s="64">
        <f>SUM(P21:P23)</f>
        <v>569705</v>
      </c>
    </row>
    <row r="21" spans="2:18" ht="16.5">
      <c r="B21" s="144" t="s">
        <v>12</v>
      </c>
      <c r="C21" s="145">
        <v>88941</v>
      </c>
      <c r="D21" s="32">
        <f>+P21/0.585274</f>
        <v>245290.2401268466</v>
      </c>
      <c r="E21" s="147">
        <f>222993+34497</f>
        <v>257490</v>
      </c>
      <c r="F21" s="148">
        <f t="shared" si="6"/>
        <v>4.973601830567958</v>
      </c>
      <c r="G21" s="149">
        <v>620261.6210527036</v>
      </c>
      <c r="H21" s="150">
        <f t="shared" si="1"/>
        <v>4.004224747889977</v>
      </c>
      <c r="I21" s="229">
        <f>+G21*1.05</f>
        <v>651274.7021053388</v>
      </c>
      <c r="J21" s="151" t="e">
        <f t="shared" si="5"/>
        <v>#DIV/0!</v>
      </c>
      <c r="K21" s="152">
        <f t="shared" si="7"/>
        <v>5.000000000000004</v>
      </c>
      <c r="L21" s="153">
        <v>347400</v>
      </c>
      <c r="M21" s="154">
        <f t="shared" si="8"/>
        <v>-43.99137586323732</v>
      </c>
      <c r="N21" s="155">
        <f t="shared" si="4"/>
        <v>3.9736684910086</v>
      </c>
      <c r="P21" s="64">
        <f>145631-2069</f>
        <v>143562</v>
      </c>
      <c r="R21" s="227"/>
    </row>
    <row r="22" spans="2:18" ht="16.5">
      <c r="B22" s="144" t="s">
        <v>13</v>
      </c>
      <c r="C22" s="145">
        <v>178000</v>
      </c>
      <c r="D22" s="34">
        <f>+P22/0.585274</f>
        <v>553795.316381729</v>
      </c>
      <c r="E22" s="147">
        <v>650605</v>
      </c>
      <c r="F22" s="148">
        <f t="shared" si="6"/>
        <v>17.48113079951375</v>
      </c>
      <c r="G22" s="149">
        <v>1599531.1597644866</v>
      </c>
      <c r="H22" s="150">
        <f t="shared" si="1"/>
        <v>10.326097952150889</v>
      </c>
      <c r="I22" s="229">
        <f>+G22*1.17</f>
        <v>1871451.4569244492</v>
      </c>
      <c r="J22" s="151" t="e">
        <f t="shared" si="5"/>
        <v>#DIV/0!</v>
      </c>
      <c r="K22" s="152">
        <f t="shared" si="7"/>
        <v>16.999999999999993</v>
      </c>
      <c r="L22" s="153">
        <f>685300-5000</f>
        <v>680300</v>
      </c>
      <c r="M22" s="154">
        <f t="shared" si="8"/>
        <v>-57.46878728513381</v>
      </c>
      <c r="N22" s="155">
        <f t="shared" si="4"/>
        <v>11.418419390148552</v>
      </c>
      <c r="P22" s="66">
        <v>324122</v>
      </c>
      <c r="R22" s="227"/>
    </row>
    <row r="23" spans="2:18" ht="16.5">
      <c r="B23" s="144" t="s">
        <v>8</v>
      </c>
      <c r="C23" s="145">
        <f>335601-C22</f>
        <v>157601</v>
      </c>
      <c r="D23" s="34">
        <f>+P23/0.585274</f>
        <v>174313.22765063884</v>
      </c>
      <c r="E23" s="147">
        <v>172657</v>
      </c>
      <c r="F23" s="148">
        <f t="shared" si="6"/>
        <v>-0.9501445604336283</v>
      </c>
      <c r="G23" s="149">
        <f>3113900-2270013</f>
        <v>843887</v>
      </c>
      <c r="H23" s="150">
        <f t="shared" si="1"/>
        <v>5.44788375603124</v>
      </c>
      <c r="I23" s="229">
        <f>G23*0.98</f>
        <v>827009.26</v>
      </c>
      <c r="J23" s="151" t="e">
        <f t="shared" si="5"/>
        <v>#DIV/0!</v>
      </c>
      <c r="K23" s="152">
        <f t="shared" si="7"/>
        <v>-2.0000000000000018</v>
      </c>
      <c r="L23" s="153">
        <v>152800</v>
      </c>
      <c r="M23" s="154">
        <f t="shared" si="8"/>
        <v>-81.89331036027335</v>
      </c>
      <c r="N23" s="155">
        <f t="shared" si="4"/>
        <v>5.045890202108313</v>
      </c>
      <c r="P23" s="66">
        <v>102021</v>
      </c>
      <c r="R23" s="227"/>
    </row>
    <row r="24" spans="2:18" ht="16.5">
      <c r="B24" s="166"/>
      <c r="C24" s="167"/>
      <c r="D24" s="35"/>
      <c r="E24" s="169"/>
      <c r="F24" s="167"/>
      <c r="G24" s="149"/>
      <c r="H24" s="150"/>
      <c r="I24" s="170"/>
      <c r="J24" s="171"/>
      <c r="K24" s="172"/>
      <c r="L24" s="158"/>
      <c r="M24" s="158"/>
      <c r="N24" s="155"/>
      <c r="P24" s="67"/>
      <c r="R24" s="227"/>
    </row>
    <row r="25" spans="1:18" ht="16.5">
      <c r="A25" s="173" t="s">
        <v>51</v>
      </c>
      <c r="B25" s="144" t="s">
        <v>23</v>
      </c>
      <c r="C25" s="145">
        <v>150018</v>
      </c>
      <c r="D25" s="32">
        <f>+P25/0.585274</f>
        <v>287583.2516052311</v>
      </c>
      <c r="E25" s="147">
        <v>359952</v>
      </c>
      <c r="F25" s="148">
        <f>(+E25/D25)*100-100</f>
        <v>25.164451681668297</v>
      </c>
      <c r="G25" s="149">
        <v>1247800</v>
      </c>
      <c r="H25" s="150">
        <f t="shared" si="1"/>
        <v>8.055426082847326</v>
      </c>
      <c r="I25" s="229">
        <f>+G25*1.0728</f>
        <v>1338639.84</v>
      </c>
      <c r="J25" s="151" t="e">
        <f>+I25/1000/$K$58*100</f>
        <v>#DIV/0!</v>
      </c>
      <c r="K25" s="152">
        <f>(+I25/G25-1)*100</f>
        <v>7.279999999999998</v>
      </c>
      <c r="L25" s="153">
        <v>436800</v>
      </c>
      <c r="M25" s="154">
        <f>(L25/G25-1)*100</f>
        <v>-64.99439012662286</v>
      </c>
      <c r="N25" s="155">
        <f>+I25/1000/$I$58*100</f>
        <v>8.167538115362625</v>
      </c>
      <c r="P25" s="64">
        <v>168315</v>
      </c>
      <c r="R25" s="227"/>
    </row>
    <row r="26" spans="1:18" ht="16.5">
      <c r="A26" s="93" t="s">
        <v>49</v>
      </c>
      <c r="B26" s="144" t="s">
        <v>14</v>
      </c>
      <c r="C26" s="145">
        <v>125938</v>
      </c>
      <c r="D26" s="32">
        <f>+P26/0.585274</f>
        <v>256379.06348137796</v>
      </c>
      <c r="E26" s="147">
        <f>64103+378+177909</f>
        <v>242390</v>
      </c>
      <c r="F26" s="148">
        <f>(+E26/D26)*100-100</f>
        <v>-5.456398541838837</v>
      </c>
      <c r="G26" s="149">
        <v>754500</v>
      </c>
      <c r="H26" s="150">
        <f t="shared" si="1"/>
        <v>4.870827840606113</v>
      </c>
      <c r="I26" s="229">
        <f>+G26*0.9397</f>
        <v>709003.65</v>
      </c>
      <c r="J26" s="151" t="e">
        <f>+I26/1000/$K$58*100</f>
        <v>#DIV/0!</v>
      </c>
      <c r="K26" s="152">
        <f>(+I26/G26-1)*100</f>
        <v>-6.030000000000002</v>
      </c>
      <c r="L26" s="153">
        <v>382000</v>
      </c>
      <c r="M26" s="154">
        <f>(L26/G26-1)*100</f>
        <v>-49.37044400265076</v>
      </c>
      <c r="N26" s="155">
        <f>+I26/1000/$I$58*100</f>
        <v>4.325894211624706</v>
      </c>
      <c r="P26" s="64">
        <f>38604+5095+106353</f>
        <v>150052</v>
      </c>
      <c r="R26" s="227"/>
    </row>
    <row r="27" spans="2:18" ht="16.5">
      <c r="B27" s="144" t="s">
        <v>15</v>
      </c>
      <c r="C27" s="145">
        <v>355</v>
      </c>
      <c r="D27" s="32">
        <v>0</v>
      </c>
      <c r="E27" s="147">
        <v>0</v>
      </c>
      <c r="F27" s="148">
        <v>0</v>
      </c>
      <c r="G27" s="149">
        <v>11500</v>
      </c>
      <c r="H27" s="150">
        <f t="shared" si="1"/>
        <v>0.07424058338895997</v>
      </c>
      <c r="I27" s="159">
        <v>0</v>
      </c>
      <c r="J27" s="151" t="e">
        <f>+I27/1000/$K$58*100</f>
        <v>#DIV/0!</v>
      </c>
      <c r="K27" s="152">
        <f>(+I27/G27-1)*100</f>
        <v>-100</v>
      </c>
      <c r="L27" s="153" t="e">
        <f>I27/(1+K27/100)*(1+F27/100)</f>
        <v>#DIV/0!</v>
      </c>
      <c r="M27" s="154"/>
      <c r="N27" s="155">
        <f>+I27/1000/$I$58*100</f>
        <v>0</v>
      </c>
      <c r="P27" s="64">
        <v>0</v>
      </c>
      <c r="R27" s="227"/>
    </row>
    <row r="28" spans="2:18" ht="16.5">
      <c r="B28" s="144" t="s">
        <v>39</v>
      </c>
      <c r="C28" s="145">
        <v>567</v>
      </c>
      <c r="D28" s="32">
        <f>+P28/0.585274</f>
        <v>8725.827561108132</v>
      </c>
      <c r="E28" s="147">
        <v>7608</v>
      </c>
      <c r="F28" s="148">
        <f>(+E28/D28)*100-100</f>
        <v>-12.810562130409252</v>
      </c>
      <c r="G28" s="149">
        <v>0</v>
      </c>
      <c r="H28" s="150">
        <f t="shared" si="1"/>
        <v>0</v>
      </c>
      <c r="I28" s="147">
        <v>0</v>
      </c>
      <c r="J28" s="151" t="e">
        <f>+I28/1000/$K$58*100</f>
        <v>#DIV/0!</v>
      </c>
      <c r="K28" s="152"/>
      <c r="L28" s="153">
        <v>95000</v>
      </c>
      <c r="M28" s="154" t="e">
        <f>(L28/G28-1)*100</f>
        <v>#DIV/0!</v>
      </c>
      <c r="N28" s="155">
        <f>+I28/1000/$I$58*100</f>
        <v>0</v>
      </c>
      <c r="P28" s="64">
        <v>5107</v>
      </c>
      <c r="R28" s="227"/>
    </row>
    <row r="29" spans="2:18" ht="16.5">
      <c r="B29" s="166"/>
      <c r="C29" s="167"/>
      <c r="D29" s="35"/>
      <c r="E29" s="169"/>
      <c r="F29" s="167"/>
      <c r="G29" s="149">
        <v>0</v>
      </c>
      <c r="H29" s="150"/>
      <c r="I29" s="169"/>
      <c r="J29" s="171"/>
      <c r="K29" s="172"/>
      <c r="L29" s="158"/>
      <c r="M29" s="158"/>
      <c r="N29" s="155"/>
      <c r="P29" s="67"/>
      <c r="R29" s="227"/>
    </row>
    <row r="30" spans="2:19" ht="16.5">
      <c r="B30" s="144" t="s">
        <v>36</v>
      </c>
      <c r="C30" s="156">
        <f>+C32+C46</f>
        <v>1016432</v>
      </c>
      <c r="D30" s="34">
        <f>+D32+D46</f>
        <v>2080065.0044013574</v>
      </c>
      <c r="E30" s="147">
        <f>+E32+E46</f>
        <v>2310942</v>
      </c>
      <c r="F30" s="174">
        <f>(+E30/D30)*100-100</f>
        <v>11.099508674494004</v>
      </c>
      <c r="G30" s="149">
        <f>+G32+G46</f>
        <v>6798200.374990176</v>
      </c>
      <c r="H30" s="150">
        <f t="shared" si="1"/>
        <v>43.88716189863627</v>
      </c>
      <c r="I30" s="147">
        <f>+I32+I46</f>
        <v>7446487.178696405</v>
      </c>
      <c r="J30" s="151" t="e">
        <f>+I30/1000/$K$58*100</f>
        <v>#DIV/0!</v>
      </c>
      <c r="K30" s="152">
        <f>(+I30/G30-1)*100</f>
        <v>9.536153216242393</v>
      </c>
      <c r="L30" s="153">
        <f>+L32</f>
        <v>3115750</v>
      </c>
      <c r="M30" s="154">
        <f>(L30/G30-1)*100</f>
        <v>-54.16801759091277</v>
      </c>
      <c r="N30" s="155">
        <f>+I30/1000/$I$58*100</f>
        <v>45.43377990121824</v>
      </c>
      <c r="P30" s="15">
        <f>+P32+P46</f>
        <v>1217408</v>
      </c>
      <c r="Q30" s="228"/>
      <c r="R30" s="15"/>
      <c r="S30" s="227"/>
    </row>
    <row r="31" spans="2:18" ht="16.5">
      <c r="B31" s="144"/>
      <c r="C31" s="164"/>
      <c r="D31" s="33"/>
      <c r="E31" s="162"/>
      <c r="F31" s="174"/>
      <c r="G31" s="149"/>
      <c r="H31" s="150"/>
      <c r="I31" s="162"/>
      <c r="J31" s="175"/>
      <c r="K31" s="152"/>
      <c r="L31" s="158"/>
      <c r="M31" s="154"/>
      <c r="N31" s="155"/>
      <c r="P31" s="16"/>
      <c r="Q31" s="228"/>
      <c r="R31" s="16"/>
    </row>
    <row r="32" spans="2:18" ht="16.5">
      <c r="B32" s="144" t="s">
        <v>37</v>
      </c>
      <c r="C32" s="145">
        <f>+C33+C43</f>
        <v>1008790</v>
      </c>
      <c r="D32" s="34">
        <f>+D33+D43</f>
        <v>2080065.0044013574</v>
      </c>
      <c r="E32" s="147">
        <f>+E33+E43</f>
        <v>2310942</v>
      </c>
      <c r="F32" s="174">
        <f aca="true" t="shared" si="9" ref="F32:F44">(+E32/D32)*100-100</f>
        <v>11.099508674494004</v>
      </c>
      <c r="G32" s="149">
        <f>+G33+G43</f>
        <v>6798200.374990176</v>
      </c>
      <c r="H32" s="150">
        <f t="shared" si="1"/>
        <v>43.88716189863627</v>
      </c>
      <c r="I32" s="147">
        <f>+I33+I43</f>
        <v>7446487.178696405</v>
      </c>
      <c r="J32" s="151" t="e">
        <f aca="true" t="shared" si="10" ref="J32:J45">+I32/1000/$K$58*100</f>
        <v>#DIV/0!</v>
      </c>
      <c r="K32" s="152">
        <f aca="true" t="shared" si="11" ref="K32:K45">(+I32/G32-1)*100</f>
        <v>9.536153216242393</v>
      </c>
      <c r="L32" s="153">
        <f>+L33+L43</f>
        <v>3115750</v>
      </c>
      <c r="M32" s="154">
        <f aca="true" t="shared" si="12" ref="M32:M44">(L32/G32-1)*100</f>
        <v>-54.16801759091277</v>
      </c>
      <c r="N32" s="155">
        <f aca="true" t="shared" si="13" ref="N32:N46">+I32/1000/$I$58*100</f>
        <v>45.43377990121824</v>
      </c>
      <c r="P32" s="15">
        <f>+P33+P43</f>
        <v>1217408</v>
      </c>
      <c r="Q32" s="228"/>
      <c r="R32" s="15"/>
    </row>
    <row r="33" spans="2:18" ht="16.5">
      <c r="B33" s="144" t="s">
        <v>34</v>
      </c>
      <c r="C33" s="145">
        <f>SUM(C34:C42)</f>
        <v>937943</v>
      </c>
      <c r="D33" s="34">
        <f>SUM(D34:D42)</f>
        <v>2007920.6371135572</v>
      </c>
      <c r="E33" s="147">
        <f>SUM(E34:E42)</f>
        <v>2229940</v>
      </c>
      <c r="F33" s="174">
        <f t="shared" si="9"/>
        <v>11.057178196325637</v>
      </c>
      <c r="G33" s="149">
        <f>SUM(G34:G42)</f>
        <v>6205300.374990176</v>
      </c>
      <c r="H33" s="150">
        <f t="shared" si="1"/>
        <v>40.059575647217635</v>
      </c>
      <c r="I33" s="147">
        <f>SUM(I34:I42)</f>
        <v>6778950.178696405</v>
      </c>
      <c r="J33" s="151" t="e">
        <f t="shared" si="10"/>
        <v>#DIV/0!</v>
      </c>
      <c r="K33" s="152">
        <f t="shared" si="11"/>
        <v>9.244513062063287</v>
      </c>
      <c r="L33" s="153">
        <f>SUM(L34:L42)</f>
        <v>2894990</v>
      </c>
      <c r="M33" s="154">
        <f t="shared" si="12"/>
        <v>-53.346496945289566</v>
      </c>
      <c r="N33" s="155">
        <f t="shared" si="13"/>
        <v>41.36088909967536</v>
      </c>
      <c r="P33" s="15">
        <f>SUM(P34:P42)</f>
        <v>1171280</v>
      </c>
      <c r="Q33" s="228"/>
      <c r="R33" s="15"/>
    </row>
    <row r="34" spans="2:18" ht="16.5">
      <c r="B34" s="133" t="s">
        <v>17</v>
      </c>
      <c r="C34" s="160">
        <v>269354</v>
      </c>
      <c r="D34" s="33">
        <f>+P34/0.585274</f>
        <v>603016.7067048938</v>
      </c>
      <c r="E34" s="162">
        <v>645867</v>
      </c>
      <c r="F34" s="176">
        <f t="shared" si="9"/>
        <v>7.105987747712007</v>
      </c>
      <c r="G34" s="149">
        <v>2256200</v>
      </c>
      <c r="H34" s="150">
        <f t="shared" si="1"/>
        <v>14.565356890623606</v>
      </c>
      <c r="I34" s="229">
        <f>+G34*1.09</f>
        <v>2459258</v>
      </c>
      <c r="J34" s="151" t="e">
        <f t="shared" si="10"/>
        <v>#DIV/0!</v>
      </c>
      <c r="K34" s="152">
        <f t="shared" si="11"/>
        <v>9.000000000000007</v>
      </c>
      <c r="L34" s="177">
        <v>820700</v>
      </c>
      <c r="M34" s="154">
        <f t="shared" si="12"/>
        <v>-63.624678663239074</v>
      </c>
      <c r="N34" s="155">
        <f t="shared" si="13"/>
        <v>15.004845104946568</v>
      </c>
      <c r="P34" s="65">
        <v>352930</v>
      </c>
      <c r="R34" s="227"/>
    </row>
    <row r="35" spans="1:18" ht="16.5">
      <c r="A35" s="93" t="s">
        <v>54</v>
      </c>
      <c r="B35" s="133" t="s">
        <v>18</v>
      </c>
      <c r="C35" s="160">
        <v>76954</v>
      </c>
      <c r="D35" s="33">
        <f>((89718+22)/0.585274)-1451-2246-3018-279-1-6967-95-240-495-3285-1164</f>
        <v>134088.89334909804</v>
      </c>
      <c r="E35" s="162">
        <f>29+158783-973-2964-1459-159-5614-190-222-587-4</f>
        <v>146640</v>
      </c>
      <c r="F35" s="176">
        <f t="shared" si="9"/>
        <v>9.360288042817515</v>
      </c>
      <c r="G35" s="149">
        <v>788500</v>
      </c>
      <c r="H35" s="150">
        <f t="shared" si="1"/>
        <v>5.090321739321299</v>
      </c>
      <c r="I35" s="229">
        <f>+G35*1.0798</f>
        <v>851422.3</v>
      </c>
      <c r="J35" s="151" t="e">
        <f t="shared" si="10"/>
        <v>#DIV/0!</v>
      </c>
      <c r="K35" s="152">
        <f t="shared" si="11"/>
        <v>7.980000000000009</v>
      </c>
      <c r="L35" s="177">
        <v>207290</v>
      </c>
      <c r="M35" s="154">
        <f t="shared" si="12"/>
        <v>-73.71084337349399</v>
      </c>
      <c r="N35" s="155">
        <f t="shared" si="13"/>
        <v>5.194843213033098</v>
      </c>
      <c r="P35" s="65">
        <f>89718+22-15165</f>
        <v>74575</v>
      </c>
      <c r="Q35" s="65">
        <f>(89718+22)/0.585274</f>
        <v>153329.89334909804</v>
      </c>
      <c r="R35" s="227"/>
    </row>
    <row r="36" spans="2:18" ht="16.5">
      <c r="B36" s="133" t="s">
        <v>19</v>
      </c>
      <c r="C36" s="160">
        <v>15523</v>
      </c>
      <c r="D36" s="33">
        <f aca="true" t="shared" si="14" ref="D36:D42">+P36/0.585274</f>
        <v>10528.402081759998</v>
      </c>
      <c r="E36" s="162">
        <v>15521</v>
      </c>
      <c r="F36" s="176">
        <f t="shared" si="9"/>
        <v>47.420281629341105</v>
      </c>
      <c r="G36" s="149">
        <v>65500</v>
      </c>
      <c r="H36" s="150">
        <f t="shared" si="1"/>
        <v>0.42284854017190243</v>
      </c>
      <c r="I36" s="229">
        <v>100000</v>
      </c>
      <c r="J36" s="151" t="e">
        <f t="shared" si="10"/>
        <v>#DIV/0!</v>
      </c>
      <c r="K36" s="152">
        <f t="shared" si="11"/>
        <v>52.67175572519085</v>
      </c>
      <c r="L36" s="177">
        <v>50000</v>
      </c>
      <c r="M36" s="154">
        <f t="shared" si="12"/>
        <v>-23.664122137404576</v>
      </c>
      <c r="N36" s="155">
        <f t="shared" si="13"/>
        <v>0.6101370862653114</v>
      </c>
      <c r="P36" s="65">
        <v>6162</v>
      </c>
      <c r="R36" s="227"/>
    </row>
    <row r="37" spans="2:18" ht="16.5">
      <c r="B37" s="133" t="s">
        <v>20</v>
      </c>
      <c r="C37" s="160">
        <v>155726</v>
      </c>
      <c r="D37" s="33">
        <f t="shared" si="14"/>
        <v>214853.21405017137</v>
      </c>
      <c r="E37" s="162">
        <v>214601</v>
      </c>
      <c r="F37" s="176">
        <f t="shared" si="9"/>
        <v>-0.11738900499412352</v>
      </c>
      <c r="G37" s="149">
        <v>502800</v>
      </c>
      <c r="H37" s="150">
        <f t="shared" si="1"/>
        <v>3.2459274198233983</v>
      </c>
      <c r="I37" s="229">
        <v>502800</v>
      </c>
      <c r="J37" s="151" t="e">
        <f t="shared" si="10"/>
        <v>#DIV/0!</v>
      </c>
      <c r="K37" s="152">
        <f t="shared" si="11"/>
        <v>0</v>
      </c>
      <c r="L37" s="177">
        <v>382000</v>
      </c>
      <c r="M37" s="154">
        <f t="shared" si="12"/>
        <v>-24.025457438345267</v>
      </c>
      <c r="N37" s="155">
        <f t="shared" si="13"/>
        <v>3.0677692697419854</v>
      </c>
      <c r="P37" s="65">
        <v>125748</v>
      </c>
      <c r="R37" s="227"/>
    </row>
    <row r="38" spans="2:18" ht="16.5">
      <c r="B38" s="133" t="s">
        <v>21</v>
      </c>
      <c r="C38" s="179">
        <v>146560</v>
      </c>
      <c r="D38" s="36">
        <f t="shared" si="14"/>
        <v>317172.8113669837</v>
      </c>
      <c r="E38" s="181">
        <f>338157+950+11377</f>
        <v>350484</v>
      </c>
      <c r="F38" s="176">
        <f t="shared" si="9"/>
        <v>10.502535980132848</v>
      </c>
      <c r="G38" s="149">
        <v>1872400</v>
      </c>
      <c r="H38" s="150">
        <f t="shared" si="1"/>
        <v>12.087658116303361</v>
      </c>
      <c r="I38" s="229">
        <f>+G38*1.095</f>
        <v>2050278</v>
      </c>
      <c r="J38" s="151" t="e">
        <f t="shared" si="10"/>
        <v>#DIV/0!</v>
      </c>
      <c r="K38" s="152">
        <f t="shared" si="11"/>
        <v>9.499999999999996</v>
      </c>
      <c r="L38" s="177">
        <v>492460</v>
      </c>
      <c r="M38" s="154">
        <f t="shared" si="12"/>
        <v>-73.69899594103823</v>
      </c>
      <c r="N38" s="155">
        <f t="shared" si="13"/>
        <v>12.509506449538698</v>
      </c>
      <c r="P38" s="59">
        <f>176789+763+8081</f>
        <v>185633</v>
      </c>
      <c r="R38" s="227"/>
    </row>
    <row r="39" spans="1:18" ht="16.5">
      <c r="A39" s="93" t="s">
        <v>41</v>
      </c>
      <c r="B39" s="133" t="s">
        <v>24</v>
      </c>
      <c r="C39" s="179">
        <v>56713</v>
      </c>
      <c r="D39" s="36">
        <f t="shared" si="14"/>
        <v>128034.04900952375</v>
      </c>
      <c r="E39" s="181">
        <f>585+18275+101908</f>
        <v>120768</v>
      </c>
      <c r="F39" s="176">
        <f t="shared" si="9"/>
        <v>-5.675091169680385</v>
      </c>
      <c r="G39" s="149">
        <f>197220/0.585274</f>
        <v>336970.3762682094</v>
      </c>
      <c r="H39" s="150">
        <f t="shared" si="1"/>
        <v>2.1753806364303667</v>
      </c>
      <c r="I39" s="229">
        <v>338640</v>
      </c>
      <c r="J39" s="151" t="e">
        <f t="shared" si="10"/>
        <v>#DIV/0!</v>
      </c>
      <c r="K39" s="152">
        <f t="shared" si="11"/>
        <v>0.495480864009723</v>
      </c>
      <c r="L39" s="177">
        <v>160000</v>
      </c>
      <c r="M39" s="154">
        <f t="shared" si="12"/>
        <v>-52.51808133049387</v>
      </c>
      <c r="N39" s="155">
        <f t="shared" si="13"/>
        <v>2.0661682289288503</v>
      </c>
      <c r="P39" s="59">
        <f>70+19835+55030</f>
        <v>74935</v>
      </c>
      <c r="R39" s="227"/>
    </row>
    <row r="40" spans="1:19" ht="16.5">
      <c r="A40" s="183" t="s">
        <v>42</v>
      </c>
      <c r="B40" s="133" t="s">
        <v>25</v>
      </c>
      <c r="C40" s="179">
        <v>12501</v>
      </c>
      <c r="D40" s="36">
        <f t="shared" si="14"/>
        <v>20387.032398500534</v>
      </c>
      <c r="E40" s="181">
        <v>20685</v>
      </c>
      <c r="F40" s="176">
        <f t="shared" si="9"/>
        <v>1.4615545591686043</v>
      </c>
      <c r="G40" s="149">
        <v>52301.99872196613</v>
      </c>
      <c r="H40" s="150">
        <f t="shared" si="1"/>
        <v>0.337646165002383</v>
      </c>
      <c r="I40" s="229">
        <f>+G40*1.02</f>
        <v>53348.03869640545</v>
      </c>
      <c r="J40" s="151" t="e">
        <f t="shared" si="10"/>
        <v>#DIV/0!</v>
      </c>
      <c r="K40" s="152">
        <f t="shared" si="11"/>
        <v>2.0000000000000018</v>
      </c>
      <c r="L40" s="177">
        <v>19720</v>
      </c>
      <c r="M40" s="154">
        <f t="shared" si="12"/>
        <v>-62.2958959851034</v>
      </c>
      <c r="N40" s="155">
        <f t="shared" si="13"/>
        <v>0.325496168881939</v>
      </c>
      <c r="P40" s="59">
        <v>11932</v>
      </c>
      <c r="R40" s="227"/>
      <c r="S40" s="227"/>
    </row>
    <row r="41" spans="1:18" ht="16.5">
      <c r="A41" s="93" t="s">
        <v>44</v>
      </c>
      <c r="B41" s="133" t="s">
        <v>26</v>
      </c>
      <c r="C41" s="184">
        <v>140242</v>
      </c>
      <c r="D41" s="36">
        <f t="shared" si="14"/>
        <v>541445.5451634619</v>
      </c>
      <c r="E41" s="181">
        <f>244758+347275+244963-E39-E40</f>
        <v>695543</v>
      </c>
      <c r="F41" s="176">
        <f t="shared" si="9"/>
        <v>28.46037911162722</v>
      </c>
      <c r="G41" s="149">
        <f>6798200-6467572</f>
        <v>330628</v>
      </c>
      <c r="H41" s="150">
        <f t="shared" si="1"/>
        <v>2.134436139541309</v>
      </c>
      <c r="I41" s="230">
        <f>+G41*1.28</f>
        <v>423203.84</v>
      </c>
      <c r="J41" s="151" t="e">
        <f t="shared" si="10"/>
        <v>#DIV/0!</v>
      </c>
      <c r="K41" s="152">
        <f t="shared" si="11"/>
        <v>28.000000000000004</v>
      </c>
      <c r="L41" s="177">
        <f>857820-L39</f>
        <v>697820</v>
      </c>
      <c r="M41" s="154">
        <f t="shared" si="12"/>
        <v>111.05895447451518</v>
      </c>
      <c r="N41" s="155">
        <f t="shared" si="13"/>
        <v>2.5821235783389103</v>
      </c>
      <c r="P41" s="59">
        <v>316894</v>
      </c>
      <c r="R41" s="227"/>
    </row>
    <row r="42" spans="1:19" ht="16.5">
      <c r="A42" s="183" t="s">
        <v>53</v>
      </c>
      <c r="B42" s="166" t="s">
        <v>27</v>
      </c>
      <c r="C42" s="184">
        <v>64370</v>
      </c>
      <c r="D42" s="36">
        <f t="shared" si="14"/>
        <v>38393.982989164055</v>
      </c>
      <c r="E42" s="181">
        <f>14130+5701</f>
        <v>19831</v>
      </c>
      <c r="F42" s="176">
        <f t="shared" si="9"/>
        <v>-48.34867743313605</v>
      </c>
      <c r="G42" s="149">
        <v>0</v>
      </c>
      <c r="H42" s="150">
        <f t="shared" si="1"/>
        <v>0</v>
      </c>
      <c r="I42" s="229">
        <v>0</v>
      </c>
      <c r="J42" s="151" t="e">
        <f t="shared" si="10"/>
        <v>#DIV/0!</v>
      </c>
      <c r="K42" s="152" t="e">
        <f t="shared" si="11"/>
        <v>#DIV/0!</v>
      </c>
      <c r="L42" s="177">
        <v>65000</v>
      </c>
      <c r="M42" s="154" t="e">
        <f t="shared" si="12"/>
        <v>#DIV/0!</v>
      </c>
      <c r="N42" s="155">
        <f t="shared" si="13"/>
        <v>0</v>
      </c>
      <c r="P42" s="59">
        <f>15165+7306</f>
        <v>22471</v>
      </c>
      <c r="R42" s="227"/>
      <c r="S42" s="227"/>
    </row>
    <row r="43" spans="2:18" ht="16.5">
      <c r="B43" s="144" t="s">
        <v>35</v>
      </c>
      <c r="C43" s="185">
        <f>+C44+C45</f>
        <v>70847</v>
      </c>
      <c r="D43" s="37">
        <f>+D44+D45</f>
        <v>72144.36728780025</v>
      </c>
      <c r="E43" s="187">
        <f>+E44+E45</f>
        <v>81002</v>
      </c>
      <c r="F43" s="174">
        <f t="shared" si="9"/>
        <v>12.277649725396628</v>
      </c>
      <c r="G43" s="149">
        <f>+G44+G45</f>
        <v>592900</v>
      </c>
      <c r="H43" s="150">
        <f t="shared" si="1"/>
        <v>3.8275862514186403</v>
      </c>
      <c r="I43" s="187">
        <f>+I44+I45</f>
        <v>667537</v>
      </c>
      <c r="J43" s="151" t="e">
        <f t="shared" si="10"/>
        <v>#DIV/0!</v>
      </c>
      <c r="K43" s="152">
        <f t="shared" si="11"/>
        <v>12.588463484567392</v>
      </c>
      <c r="L43" s="153">
        <f>+L44+L45</f>
        <v>220760</v>
      </c>
      <c r="M43" s="154">
        <f t="shared" si="12"/>
        <v>-62.76606510372744</v>
      </c>
      <c r="N43" s="155">
        <f t="shared" si="13"/>
        <v>4.072890801542871</v>
      </c>
      <c r="P43" s="60">
        <f>+P44+P45</f>
        <v>46128</v>
      </c>
      <c r="R43" s="227"/>
    </row>
    <row r="44" spans="1:18" ht="16.5">
      <c r="A44" s="173">
        <v>31</v>
      </c>
      <c r="B44" s="133" t="s">
        <v>28</v>
      </c>
      <c r="C44" s="184">
        <v>53202</v>
      </c>
      <c r="D44" s="36">
        <f>+P44/0.585274-112-1197-16-24-106-1272-408-2528-931-76</f>
        <v>72144.36728780025</v>
      </c>
      <c r="E44" s="181">
        <f>88505-24-182-59-33-1110-630-547-3523-1328-67</f>
        <v>81002</v>
      </c>
      <c r="F44" s="176">
        <f t="shared" si="9"/>
        <v>12.277649725396628</v>
      </c>
      <c r="G44" s="149">
        <v>476600</v>
      </c>
      <c r="H44" s="150">
        <f t="shared" si="1"/>
        <v>3.076788003754637</v>
      </c>
      <c r="I44" s="231">
        <f>+G44*1.12</f>
        <v>533792</v>
      </c>
      <c r="J44" s="151" t="e">
        <f t="shared" si="10"/>
        <v>#DIV/0!</v>
      </c>
      <c r="K44" s="152">
        <f t="shared" si="11"/>
        <v>12.00000000000001</v>
      </c>
      <c r="L44" s="177">
        <v>220760</v>
      </c>
      <c r="M44" s="154">
        <f t="shared" si="12"/>
        <v>-53.6802349979018</v>
      </c>
      <c r="N44" s="155">
        <f t="shared" si="13"/>
        <v>3.256862955517331</v>
      </c>
      <c r="P44" s="59">
        <v>46128</v>
      </c>
      <c r="R44" s="227"/>
    </row>
    <row r="45" spans="2:18" ht="16.5">
      <c r="B45" s="133" t="s">
        <v>29</v>
      </c>
      <c r="C45" s="184">
        <f>11749+5896</f>
        <v>17645</v>
      </c>
      <c r="D45" s="36">
        <v>0</v>
      </c>
      <c r="E45" s="181">
        <v>0</v>
      </c>
      <c r="F45" s="176">
        <v>0</v>
      </c>
      <c r="G45" s="149">
        <v>116300</v>
      </c>
      <c r="H45" s="150">
        <f t="shared" si="1"/>
        <v>0.7507982476640039</v>
      </c>
      <c r="I45" s="231">
        <f>G45*1.15</f>
        <v>133745</v>
      </c>
      <c r="J45" s="151" t="e">
        <f t="shared" si="10"/>
        <v>#DIV/0!</v>
      </c>
      <c r="K45" s="152">
        <f t="shared" si="11"/>
        <v>14.999999999999991</v>
      </c>
      <c r="L45" s="177">
        <v>0</v>
      </c>
      <c r="M45" s="189">
        <v>0</v>
      </c>
      <c r="N45" s="155">
        <f t="shared" si="13"/>
        <v>0.8160278460255407</v>
      </c>
      <c r="P45" s="59">
        <v>0</v>
      </c>
      <c r="R45" s="227"/>
    </row>
    <row r="46" spans="2:18" ht="16.5">
      <c r="B46" s="144" t="s">
        <v>30</v>
      </c>
      <c r="C46" s="185">
        <v>7642</v>
      </c>
      <c r="D46" s="37">
        <v>0</v>
      </c>
      <c r="E46" s="187">
        <v>0</v>
      </c>
      <c r="F46" s="174"/>
      <c r="G46" s="149">
        <v>0</v>
      </c>
      <c r="H46" s="150">
        <f t="shared" si="1"/>
        <v>0</v>
      </c>
      <c r="I46" s="187">
        <v>0</v>
      </c>
      <c r="J46" s="175"/>
      <c r="K46" s="188"/>
      <c r="L46" s="158"/>
      <c r="M46" s="158"/>
      <c r="N46" s="155">
        <f t="shared" si="13"/>
        <v>0</v>
      </c>
      <c r="P46" s="60">
        <v>0</v>
      </c>
      <c r="R46" s="227"/>
    </row>
    <row r="47" spans="2:16" ht="16.5">
      <c r="B47" s="166"/>
      <c r="C47" s="184"/>
      <c r="D47" s="168"/>
      <c r="E47" s="169"/>
      <c r="F47" s="167"/>
      <c r="G47" s="149"/>
      <c r="H47" s="150"/>
      <c r="I47" s="169"/>
      <c r="J47" s="190"/>
      <c r="K47" s="172"/>
      <c r="L47" s="158"/>
      <c r="M47" s="158"/>
      <c r="N47" s="155"/>
      <c r="P47" s="67"/>
    </row>
    <row r="48" spans="2:16" ht="16.5">
      <c r="B48" s="144" t="s">
        <v>31</v>
      </c>
      <c r="C48" s="185">
        <f>+C12+C28-C33</f>
        <v>-22531</v>
      </c>
      <c r="D48" s="186">
        <f>+D12+D28-D33</f>
        <v>242987.4845525343</v>
      </c>
      <c r="E48" s="187">
        <f>+E12+E28-E33</f>
        <v>138641</v>
      </c>
      <c r="F48" s="174"/>
      <c r="G48" s="149">
        <f>+G12+G28-G33</f>
        <v>1086899.4058270138</v>
      </c>
      <c r="H48" s="150">
        <f t="shared" si="1"/>
        <v>7.016699649887954</v>
      </c>
      <c r="I48" s="187">
        <f>+I12+I28-I33</f>
        <v>769012.3743333835</v>
      </c>
      <c r="J48" s="151" t="e">
        <f>+I48/1000/$K$58*100</f>
        <v>#DIV/0!</v>
      </c>
      <c r="K48" s="152">
        <f>(+I48/G48-1)*100</f>
        <v>-29.247143736522</v>
      </c>
      <c r="L48" s="153">
        <f>+L12+L28-L33</f>
        <v>24210</v>
      </c>
      <c r="M48" s="158"/>
      <c r="N48" s="155">
        <f>+I48/1000/$I$58*100</f>
        <v>4.692029693777395</v>
      </c>
      <c r="P48" s="60">
        <f>+P12+P28-P33</f>
        <v>146118</v>
      </c>
    </row>
    <row r="49" spans="2:16" ht="16.5">
      <c r="B49" s="144"/>
      <c r="C49" s="191"/>
      <c r="D49" s="192"/>
      <c r="E49" s="193"/>
      <c r="F49" s="167"/>
      <c r="G49" s="149"/>
      <c r="H49" s="150"/>
      <c r="I49" s="193"/>
      <c r="J49" s="194"/>
      <c r="K49" s="172"/>
      <c r="L49" s="195"/>
      <c r="M49" s="158"/>
      <c r="N49" s="155"/>
      <c r="P49" s="68"/>
    </row>
    <row r="50" spans="2:16" ht="16.5">
      <c r="B50" s="144" t="s">
        <v>32</v>
      </c>
      <c r="C50" s="185">
        <f>+C9-C30</f>
        <v>-100665</v>
      </c>
      <c r="D50" s="186">
        <f>+D9-D30</f>
        <v>170843.11726473412</v>
      </c>
      <c r="E50" s="187">
        <f>+E9-E30</f>
        <v>57639</v>
      </c>
      <c r="F50" s="167"/>
      <c r="G50" s="149">
        <f>+G9-G30</f>
        <v>505499.4058270138</v>
      </c>
      <c r="H50" s="150">
        <f t="shared" si="1"/>
        <v>3.2633539818582724</v>
      </c>
      <c r="I50" s="187">
        <f>+I9-I30</f>
        <v>101475.37433338352</v>
      </c>
      <c r="J50" s="151" t="e">
        <f>+I50/1000/$K$58*100</f>
        <v>#DIV/0!</v>
      </c>
      <c r="K50" s="172"/>
      <c r="L50" s="153" t="e">
        <f>+L9-L30</f>
        <v>#DIV/0!</v>
      </c>
      <c r="M50" s="158"/>
      <c r="N50" s="155">
        <f>+I50/1000/$I$58*100</f>
        <v>0.6191388922345238</v>
      </c>
      <c r="P50" s="60">
        <f>+P9-P30</f>
        <v>99990</v>
      </c>
    </row>
    <row r="51" spans="2:16" ht="16.5">
      <c r="B51" s="144" t="s">
        <v>22</v>
      </c>
      <c r="C51" s="196">
        <f>+C50/1000/C58*100</f>
        <v>-1.6339068333062816</v>
      </c>
      <c r="D51" s="197">
        <f>+D50/1000/D58*100</f>
        <v>1.1029109841366418</v>
      </c>
      <c r="E51" s="198">
        <f>+E50/1000/E58*100</f>
        <v>0.3516769151524628</v>
      </c>
      <c r="F51" s="196"/>
      <c r="G51" s="199">
        <f>+G50/1000/G58*100</f>
        <v>3.2633539818582724</v>
      </c>
      <c r="H51" s="200"/>
      <c r="I51" s="198">
        <f>+I50/1000/I58*100</f>
        <v>0.6191388922345238</v>
      </c>
      <c r="J51" s="151"/>
      <c r="K51" s="172"/>
      <c r="L51" s="154" t="e">
        <f>+L50/1000/M58*100</f>
        <v>#DIV/0!</v>
      </c>
      <c r="M51" s="158"/>
      <c r="N51" s="143"/>
      <c r="P51" s="69" t="e">
        <f>+P50/1000/P58*100</f>
        <v>#DIV/0!</v>
      </c>
    </row>
    <row r="52" spans="2:16" ht="16.5">
      <c r="B52" s="144"/>
      <c r="C52" s="191"/>
      <c r="D52" s="201"/>
      <c r="E52" s="202"/>
      <c r="F52" s="167"/>
      <c r="G52" s="149"/>
      <c r="H52" s="203"/>
      <c r="I52" s="202"/>
      <c r="J52" s="190"/>
      <c r="K52" s="172"/>
      <c r="L52" s="157"/>
      <c r="M52" s="158"/>
      <c r="N52" s="143"/>
      <c r="P52" s="70"/>
    </row>
    <row r="53" spans="2:16" ht="16.5">
      <c r="B53" s="144" t="s">
        <v>33</v>
      </c>
      <c r="C53" s="204">
        <f>+C50+C37</f>
        <v>55061</v>
      </c>
      <c r="D53" s="192">
        <f>+D50+D37</f>
        <v>385696.3313149055</v>
      </c>
      <c r="E53" s="193">
        <f>+E50+E37</f>
        <v>272240</v>
      </c>
      <c r="F53" s="167"/>
      <c r="G53" s="149">
        <v>1051058.1368726443</v>
      </c>
      <c r="H53" s="205"/>
      <c r="I53" s="193">
        <f>+I50+I37</f>
        <v>604275.3743333835</v>
      </c>
      <c r="J53" s="206"/>
      <c r="K53" s="172"/>
      <c r="L53" s="195" t="e">
        <f>+L50+L37</f>
        <v>#DIV/0!</v>
      </c>
      <c r="M53" s="158"/>
      <c r="N53" s="143"/>
      <c r="P53" s="68">
        <f>+P50+P37</f>
        <v>225738</v>
      </c>
    </row>
    <row r="54" spans="2:14" ht="17.25" thickBot="1">
      <c r="B54" s="207"/>
      <c r="C54" s="171"/>
      <c r="D54" s="208"/>
      <c r="E54" s="209"/>
      <c r="F54" s="171"/>
      <c r="G54" s="210"/>
      <c r="H54" s="211"/>
      <c r="I54" s="212"/>
      <c r="J54" s="213"/>
      <c r="K54" s="214"/>
      <c r="L54" s="215"/>
      <c r="M54" s="215"/>
      <c r="N54" s="216"/>
    </row>
    <row r="55" spans="2:11" ht="17.25" thickTop="1">
      <c r="B55" s="217"/>
      <c r="C55" s="218"/>
      <c r="D55" s="217"/>
      <c r="E55" s="217"/>
      <c r="F55" s="217"/>
      <c r="G55" s="217"/>
      <c r="H55" s="219"/>
      <c r="I55" s="217"/>
      <c r="J55" s="217"/>
      <c r="K55" s="219"/>
    </row>
    <row r="56" spans="2:4" ht="16.5">
      <c r="B56" s="220" t="s">
        <v>40</v>
      </c>
      <c r="D56" s="221"/>
    </row>
    <row r="57" spans="2:4" ht="16.5">
      <c r="B57" s="99"/>
      <c r="D57" s="221"/>
    </row>
    <row r="58" spans="2:14" ht="16.5">
      <c r="B58" s="220" t="s">
        <v>62</v>
      </c>
      <c r="C58" s="222">
        <v>6161</v>
      </c>
      <c r="D58" s="223">
        <v>15490.2</v>
      </c>
      <c r="E58" s="223">
        <f>9592.5/0.585274</f>
        <v>16389.75932640097</v>
      </c>
      <c r="F58" s="223"/>
      <c r="G58" s="223">
        <v>15490.18</v>
      </c>
      <c r="H58" s="224"/>
      <c r="I58" s="223">
        <f>9592.5/0.585274</f>
        <v>16389.75932640097</v>
      </c>
      <c r="J58" s="225">
        <v>8260.3</v>
      </c>
      <c r="K58" s="226"/>
      <c r="L58" s="226"/>
      <c r="M58" s="226"/>
      <c r="N58" s="224"/>
    </row>
    <row r="59" ht="16.5">
      <c r="B59" s="99"/>
    </row>
    <row r="60" ht="16.5">
      <c r="B60" s="220"/>
    </row>
    <row r="62" ht="18" customHeight="1">
      <c r="B62" s="222"/>
    </row>
    <row r="63" ht="18" customHeight="1"/>
    <row r="64" ht="18" customHeight="1"/>
    <row r="65" ht="18" customHeight="1"/>
    <row r="66" ht="18" customHeight="1"/>
  </sheetData>
  <mergeCells count="2">
    <mergeCell ref="I3:N3"/>
    <mergeCell ref="B1:N1"/>
  </mergeCells>
  <printOptions/>
  <pageMargins left="0.17" right="0.15748031496062992" top="0.984251968503937" bottom="0.43" header="0.5118110236220472" footer="0.19"/>
  <pageSetup horizontalDpi="600" verticalDpi="600" orientation="portrait" paperSize="9" scale="75" r:id="rId3"/>
  <headerFooter alignWithMargins="0">
    <oddFooter>&amp;L&amp;F&amp;C&amp;D&amp;R&amp;P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2"/>
  <sheetViews>
    <sheetView zoomScale="75" zoomScaleNormal="75" workbookViewId="0" topLeftCell="A1">
      <pane xSplit="3" ySplit="8" topLeftCell="D5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I67" sqref="I67"/>
    </sheetView>
  </sheetViews>
  <sheetFormatPr defaultColWidth="9.140625" defaultRowHeight="12.75"/>
  <cols>
    <col min="1" max="1" width="8.8515625" style="93" customWidth="1"/>
    <col min="2" max="2" width="35.00390625" style="93" customWidth="1"/>
    <col min="3" max="3" width="0.9921875" style="93" hidden="1" customWidth="1"/>
    <col min="4" max="5" width="12.8515625" style="93" bestFit="1" customWidth="1"/>
    <col min="6" max="6" width="10.00390625" style="93" bestFit="1" customWidth="1"/>
    <col min="7" max="7" width="14.00390625" style="93" bestFit="1" customWidth="1"/>
    <col min="8" max="8" width="12.140625" style="95" customWidth="1"/>
    <col min="9" max="9" width="12.421875" style="93" customWidth="1"/>
    <col min="10" max="10" width="9.140625" style="93" hidden="1" customWidth="1"/>
    <col min="11" max="11" width="12.00390625" style="95" customWidth="1"/>
    <col min="12" max="12" width="14.7109375" style="95" hidden="1" customWidth="1"/>
    <col min="13" max="13" width="9.421875" style="95" hidden="1" customWidth="1"/>
    <col min="14" max="14" width="12.140625" style="96" customWidth="1"/>
    <col min="15" max="15" width="5.421875" style="93" customWidth="1"/>
    <col min="16" max="16" width="12.140625" style="93" customWidth="1"/>
    <col min="17" max="17" width="12.57421875" style="227" customWidth="1"/>
    <col min="18" max="18" width="12.140625" style="93" bestFit="1" customWidth="1"/>
    <col min="19" max="16384" width="8.8515625" style="93" customWidth="1"/>
  </cols>
  <sheetData>
    <row r="1" spans="2:14" ht="19.5">
      <c r="B1" s="363" t="s">
        <v>63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</row>
    <row r="2" spans="2:11" ht="17.25" thickBot="1">
      <c r="B2" s="97"/>
      <c r="C2" s="98"/>
      <c r="D2" s="99"/>
      <c r="E2" s="99"/>
      <c r="F2" s="99"/>
      <c r="G2" s="99"/>
      <c r="H2" s="100"/>
      <c r="I2" s="99"/>
      <c r="J2" s="99"/>
      <c r="K2" s="100"/>
    </row>
    <row r="3" spans="2:14" ht="15.75" thickBot="1">
      <c r="B3" s="101"/>
      <c r="C3" s="102"/>
      <c r="D3" s="101"/>
      <c r="E3" s="103"/>
      <c r="F3" s="104"/>
      <c r="G3" s="105"/>
      <c r="H3" s="106"/>
      <c r="I3" s="360" t="s">
        <v>66</v>
      </c>
      <c r="J3" s="361"/>
      <c r="K3" s="361"/>
      <c r="L3" s="361"/>
      <c r="M3" s="361"/>
      <c r="N3" s="362"/>
    </row>
    <row r="4" spans="2:14" ht="16.5">
      <c r="B4" s="107"/>
      <c r="C4" s="108"/>
      <c r="D4" s="109" t="s">
        <v>71</v>
      </c>
      <c r="E4" s="110" t="s">
        <v>71</v>
      </c>
      <c r="F4" s="111" t="s">
        <v>16</v>
      </c>
      <c r="G4" s="112" t="s">
        <v>48</v>
      </c>
      <c r="H4" s="113">
        <v>2007</v>
      </c>
      <c r="I4" s="114">
        <v>2008</v>
      </c>
      <c r="J4" s="115" t="s">
        <v>46</v>
      </c>
      <c r="K4" s="116" t="s">
        <v>43</v>
      </c>
      <c r="L4" s="117" t="s">
        <v>45</v>
      </c>
      <c r="M4" s="115" t="s">
        <v>43</v>
      </c>
      <c r="N4" s="113">
        <v>2008</v>
      </c>
    </row>
    <row r="5" spans="2:14" ht="16.5">
      <c r="B5" s="107"/>
      <c r="C5" s="108"/>
      <c r="D5" s="109">
        <v>2007</v>
      </c>
      <c r="E5" s="118">
        <v>2008</v>
      </c>
      <c r="F5" s="115"/>
      <c r="G5" s="112">
        <v>2007</v>
      </c>
      <c r="H5" s="113" t="s">
        <v>57</v>
      </c>
      <c r="I5" s="114"/>
      <c r="J5" s="115" t="s">
        <v>47</v>
      </c>
      <c r="K5" s="116" t="s">
        <v>16</v>
      </c>
      <c r="L5" s="117">
        <v>2006</v>
      </c>
      <c r="M5" s="115" t="s">
        <v>16</v>
      </c>
      <c r="N5" s="113" t="s">
        <v>61</v>
      </c>
    </row>
    <row r="6" spans="2:14" ht="16.5">
      <c r="B6" s="107"/>
      <c r="C6" s="108">
        <v>2002</v>
      </c>
      <c r="D6" s="109" t="s">
        <v>64</v>
      </c>
      <c r="E6" s="118" t="s">
        <v>64</v>
      </c>
      <c r="F6" s="108" t="s">
        <v>59</v>
      </c>
      <c r="G6" s="119" t="s">
        <v>64</v>
      </c>
      <c r="H6" s="113" t="s">
        <v>55</v>
      </c>
      <c r="I6" s="118" t="s">
        <v>64</v>
      </c>
      <c r="J6" s="115">
        <v>2003</v>
      </c>
      <c r="K6" s="116" t="s">
        <v>60</v>
      </c>
      <c r="L6" s="117"/>
      <c r="M6" s="115" t="s">
        <v>52</v>
      </c>
      <c r="N6" s="113" t="s">
        <v>55</v>
      </c>
    </row>
    <row r="7" spans="2:14" ht="17.25" thickBot="1">
      <c r="B7" s="120"/>
      <c r="C7" s="121"/>
      <c r="D7" s="122"/>
      <c r="E7" s="123"/>
      <c r="F7" s="124"/>
      <c r="G7" s="125"/>
      <c r="H7" s="126"/>
      <c r="I7" s="127"/>
      <c r="J7" s="128"/>
      <c r="K7" s="129"/>
      <c r="L7" s="130"/>
      <c r="M7" s="131"/>
      <c r="N7" s="132"/>
    </row>
    <row r="8" spans="2:14" ht="16.5">
      <c r="B8" s="133"/>
      <c r="C8" s="98"/>
      <c r="D8" s="134"/>
      <c r="E8" s="135"/>
      <c r="F8" s="136"/>
      <c r="G8" s="137"/>
      <c r="H8" s="138"/>
      <c r="I8" s="139"/>
      <c r="J8" s="140"/>
      <c r="K8" s="141"/>
      <c r="L8" s="142"/>
      <c r="M8" s="142"/>
      <c r="N8" s="143"/>
    </row>
    <row r="9" spans="2:16" ht="16.5">
      <c r="B9" s="144" t="s">
        <v>1</v>
      </c>
      <c r="C9" s="145">
        <f>C11+C28</f>
        <v>915767</v>
      </c>
      <c r="D9" s="32">
        <f>D11+D28</f>
        <v>2765210.8243318517</v>
      </c>
      <c r="E9" s="147">
        <f>E11+E28</f>
        <v>2981114</v>
      </c>
      <c r="F9" s="148">
        <f>(+E9/D9)*100-100</f>
        <v>7.8078377882929</v>
      </c>
      <c r="G9" s="149">
        <f>G11+G28</f>
        <v>7303699.78081719</v>
      </c>
      <c r="H9" s="150">
        <f>+G9/1000/$G$58*100</f>
        <v>47.150515880494545</v>
      </c>
      <c r="I9" s="147">
        <f>I11+I28</f>
        <v>7547962.553029789</v>
      </c>
      <c r="J9" s="151" t="e">
        <f>+I9/1000/$K$58*100</f>
        <v>#DIV/0!</v>
      </c>
      <c r="K9" s="152">
        <f>(+I9/G9-1)*100</f>
        <v>3.344370381353068</v>
      </c>
      <c r="L9" s="153" t="e">
        <f>+L11+L28</f>
        <v>#DIV/0!</v>
      </c>
      <c r="M9" s="154" t="e">
        <f>(L9/G9-1)*100</f>
        <v>#DIV/0!</v>
      </c>
      <c r="N9" s="155">
        <f>+I9/1000/$I$58*100</f>
        <v>46.05291879345276</v>
      </c>
      <c r="P9" s="64">
        <f>P11+P28</f>
        <v>1618406</v>
      </c>
    </row>
    <row r="10" spans="2:16" ht="16.5">
      <c r="B10" s="144"/>
      <c r="C10" s="145"/>
      <c r="D10" s="32"/>
      <c r="E10" s="147"/>
      <c r="F10" s="148"/>
      <c r="G10" s="149"/>
      <c r="H10" s="150"/>
      <c r="I10" s="147"/>
      <c r="J10" s="156"/>
      <c r="K10" s="152"/>
      <c r="L10" s="157"/>
      <c r="M10" s="158"/>
      <c r="N10" s="155"/>
      <c r="P10" s="64"/>
    </row>
    <row r="11" spans="2:16" ht="16.5">
      <c r="B11" s="144" t="s">
        <v>2</v>
      </c>
      <c r="C11" s="145">
        <f>C12+C27</f>
        <v>915200</v>
      </c>
      <c r="D11" s="32">
        <f>D12+D27</f>
        <v>2753814.452717873</v>
      </c>
      <c r="E11" s="147">
        <f>E12+E27</f>
        <v>2972387</v>
      </c>
      <c r="F11" s="148">
        <f aca="true" t="shared" si="0" ref="F11:F16">(+E11/D11)*100-100</f>
        <v>7.937083308804887</v>
      </c>
      <c r="G11" s="149">
        <f>G12+G27</f>
        <v>7303699.78081719</v>
      </c>
      <c r="H11" s="150">
        <f aca="true" t="shared" si="1" ref="H11:H50">+G11/1000/$G$58*100</f>
        <v>47.150515880494545</v>
      </c>
      <c r="I11" s="147">
        <f>I12+I27</f>
        <v>7547962.553029789</v>
      </c>
      <c r="J11" s="151" t="e">
        <f>+I11/1000/$K$58*100</f>
        <v>#DIV/0!</v>
      </c>
      <c r="K11" s="152">
        <f aca="true" t="shared" si="2" ref="K11:K16">(+I11/G11-1)*100</f>
        <v>3.344370381353068</v>
      </c>
      <c r="L11" s="153" t="e">
        <f>+L12+L27</f>
        <v>#DIV/0!</v>
      </c>
      <c r="M11" s="154" t="e">
        <f aca="true" t="shared" si="3" ref="M11:M16">(L11/G11-1)*100</f>
        <v>#DIV/0!</v>
      </c>
      <c r="N11" s="155">
        <f aca="true" t="shared" si="4" ref="N11:N23">+I11/1000/$I$58*100</f>
        <v>46.05291879345276</v>
      </c>
      <c r="P11" s="64">
        <f>P12+P27</f>
        <v>1611736</v>
      </c>
    </row>
    <row r="12" spans="2:16" ht="16.5">
      <c r="B12" s="144" t="s">
        <v>3</v>
      </c>
      <c r="C12" s="145">
        <f>C13+C26</f>
        <v>914845</v>
      </c>
      <c r="D12" s="32">
        <f>D13+D26</f>
        <v>2753814.452717873</v>
      </c>
      <c r="E12" s="147">
        <f>E13+E26</f>
        <v>2972387</v>
      </c>
      <c r="F12" s="148">
        <f t="shared" si="0"/>
        <v>7.937083308804887</v>
      </c>
      <c r="G12" s="149">
        <f>G13+G26</f>
        <v>7292199.78081719</v>
      </c>
      <c r="H12" s="150">
        <f t="shared" si="1"/>
        <v>47.07627529710558</v>
      </c>
      <c r="I12" s="147">
        <f>I13+I26</f>
        <v>7547962.553029789</v>
      </c>
      <c r="J12" s="151" t="e">
        <f aca="true" t="shared" si="5" ref="J12:J23">+I12/1000/$K$58*100</f>
        <v>#DIV/0!</v>
      </c>
      <c r="K12" s="152">
        <f t="shared" si="2"/>
        <v>3.507347301227348</v>
      </c>
      <c r="L12" s="153">
        <f>+L13+L26</f>
        <v>2824200</v>
      </c>
      <c r="M12" s="154">
        <f t="shared" si="3"/>
        <v>-61.27094587521695</v>
      </c>
      <c r="N12" s="155">
        <f t="shared" si="4"/>
        <v>46.05291879345276</v>
      </c>
      <c r="P12" s="64">
        <f>P13+P26</f>
        <v>1611736</v>
      </c>
    </row>
    <row r="13" spans="2:16" ht="16.5">
      <c r="B13" s="144" t="s">
        <v>4</v>
      </c>
      <c r="C13" s="145">
        <f>C14+C18+C25</f>
        <v>788907</v>
      </c>
      <c r="D13" s="32">
        <f>D14+D18+D25</f>
        <v>2434118.0370219764</v>
      </c>
      <c r="E13" s="147">
        <f>E14+E18+E25</f>
        <v>2655388</v>
      </c>
      <c r="F13" s="148">
        <f t="shared" si="0"/>
        <v>9.090354683404598</v>
      </c>
      <c r="G13" s="149">
        <f>G14+G18+G25</f>
        <v>6537699.78081719</v>
      </c>
      <c r="H13" s="150">
        <f t="shared" si="1"/>
        <v>42.20544745649947</v>
      </c>
      <c r="I13" s="147">
        <f>I14+I18+I25</f>
        <v>6838958.903029788</v>
      </c>
      <c r="J13" s="151" t="e">
        <f t="shared" si="5"/>
        <v>#DIV/0!</v>
      </c>
      <c r="K13" s="152">
        <f t="shared" si="2"/>
        <v>4.608029311724393</v>
      </c>
      <c r="L13" s="153">
        <f>+L14+L18+L25</f>
        <v>2442200</v>
      </c>
      <c r="M13" s="154">
        <f t="shared" si="3"/>
        <v>-62.64435379602682</v>
      </c>
      <c r="N13" s="155">
        <f t="shared" si="4"/>
        <v>41.72702458182805</v>
      </c>
      <c r="P13" s="64">
        <f>P14+P18+P25</f>
        <v>1424626</v>
      </c>
    </row>
    <row r="14" spans="2:16" ht="16.5">
      <c r="B14" s="144" t="s">
        <v>5</v>
      </c>
      <c r="C14" s="145">
        <f>C15+C16</f>
        <v>267215</v>
      </c>
      <c r="D14" s="32">
        <f>D15+D16</f>
        <v>831443.0506053575</v>
      </c>
      <c r="E14" s="147">
        <f>E15+E16</f>
        <v>796412</v>
      </c>
      <c r="F14" s="148">
        <f t="shared" si="0"/>
        <v>-4.213283228460696</v>
      </c>
      <c r="G14" s="149">
        <f>G15+G16</f>
        <v>2176000</v>
      </c>
      <c r="H14" s="150">
        <f t="shared" si="1"/>
        <v>14.047609517771903</v>
      </c>
      <c r="I14" s="147">
        <f>I15+I16</f>
        <v>2085297.644</v>
      </c>
      <c r="J14" s="151" t="e">
        <f t="shared" si="5"/>
        <v>#DIV/0!</v>
      </c>
      <c r="K14" s="152">
        <f t="shared" si="2"/>
        <v>-4.168306801470589</v>
      </c>
      <c r="L14" s="153">
        <f>+L15+L16</f>
        <v>798200</v>
      </c>
      <c r="M14" s="154">
        <f t="shared" si="3"/>
        <v>-63.318014705882355</v>
      </c>
      <c r="N14" s="155">
        <f t="shared" si="4"/>
        <v>12.723174285060788</v>
      </c>
      <c r="P14" s="64">
        <f>P15+P16</f>
        <v>486622</v>
      </c>
    </row>
    <row r="15" spans="2:16" ht="16.5">
      <c r="B15" s="144" t="s">
        <v>6</v>
      </c>
      <c r="C15" s="145">
        <v>191033</v>
      </c>
      <c r="D15" s="32">
        <f>+P15/0.585274</f>
        <v>526450.8589139446</v>
      </c>
      <c r="E15" s="147">
        <f>10998+515059</f>
        <v>526057</v>
      </c>
      <c r="F15" s="148">
        <f t="shared" si="0"/>
        <v>-0.07481399398930932</v>
      </c>
      <c r="G15" s="149">
        <v>1680040</v>
      </c>
      <c r="H15" s="150">
        <f t="shared" si="1"/>
        <v>10.845839105807679</v>
      </c>
      <c r="I15" s="229">
        <f>+G15*(0.9221)</f>
        <v>1549164.884</v>
      </c>
      <c r="J15" s="151" t="e">
        <f t="shared" si="5"/>
        <v>#DIV/0!</v>
      </c>
      <c r="K15" s="152">
        <f t="shared" si="2"/>
        <v>-7.789999999999997</v>
      </c>
      <c r="L15" s="153">
        <f>-5000+502900</f>
        <v>497900</v>
      </c>
      <c r="M15" s="154">
        <f t="shared" si="3"/>
        <v>-70.36380086188424</v>
      </c>
      <c r="N15" s="155">
        <f t="shared" si="4"/>
        <v>9.45202948468299</v>
      </c>
      <c r="P15" s="64">
        <f>311763-3645</f>
        <v>308118</v>
      </c>
    </row>
    <row r="16" spans="2:16" ht="16.5">
      <c r="B16" s="144" t="s">
        <v>7</v>
      </c>
      <c r="C16" s="145">
        <v>76182</v>
      </c>
      <c r="D16" s="32">
        <f>+P16/0.585274</f>
        <v>304992.19169141294</v>
      </c>
      <c r="E16" s="147">
        <f>45493+22202+202660</f>
        <v>270355</v>
      </c>
      <c r="F16" s="148">
        <f t="shared" si="0"/>
        <v>-11.356747036480982</v>
      </c>
      <c r="G16" s="149">
        <f>2176000-1680040</f>
        <v>495960</v>
      </c>
      <c r="H16" s="150">
        <f t="shared" si="1"/>
        <v>3.2017704119642247</v>
      </c>
      <c r="I16" s="229">
        <f>+G16*1.081</f>
        <v>536132.76</v>
      </c>
      <c r="J16" s="151" t="e">
        <f t="shared" si="5"/>
        <v>#DIV/0!</v>
      </c>
      <c r="K16" s="152">
        <f t="shared" si="2"/>
        <v>8.099999999999996</v>
      </c>
      <c r="L16" s="153">
        <f>308300-8000</f>
        <v>300300</v>
      </c>
      <c r="M16" s="154">
        <f t="shared" si="3"/>
        <v>-39.450762158238575</v>
      </c>
      <c r="N16" s="155">
        <f t="shared" si="4"/>
        <v>3.2711448003777948</v>
      </c>
      <c r="P16" s="64">
        <f>28867+46608+103029</f>
        <v>178504</v>
      </c>
    </row>
    <row r="17" spans="2:16" ht="16.5">
      <c r="B17" s="133"/>
      <c r="C17" s="160"/>
      <c r="D17" s="33"/>
      <c r="E17" s="162"/>
      <c r="F17" s="163"/>
      <c r="G17" s="149"/>
      <c r="H17" s="150"/>
      <c r="I17" s="147"/>
      <c r="J17" s="164"/>
      <c r="K17" s="165"/>
      <c r="L17" s="158"/>
      <c r="M17" s="158"/>
      <c r="N17" s="155">
        <f t="shared" si="4"/>
        <v>0</v>
      </c>
      <c r="P17" s="65"/>
    </row>
    <row r="18" spans="2:16" ht="16.5">
      <c r="B18" s="144" t="s">
        <v>9</v>
      </c>
      <c r="C18" s="145">
        <f>C19+C20</f>
        <v>371674</v>
      </c>
      <c r="D18" s="32">
        <f>D19+D20</f>
        <v>1259551.9363580137</v>
      </c>
      <c r="E18" s="147">
        <f>E19+E20</f>
        <v>1419375</v>
      </c>
      <c r="F18" s="148">
        <f aca="true" t="shared" si="6" ref="F18:F23">(+E18/D18)*100-100</f>
        <v>12.688882373847463</v>
      </c>
      <c r="G18" s="149">
        <f>G19+G20</f>
        <v>3113899.78081719</v>
      </c>
      <c r="H18" s="150">
        <f t="shared" si="1"/>
        <v>20.10241185588024</v>
      </c>
      <c r="I18" s="147">
        <f>I19+I20</f>
        <v>3415021.419029788</v>
      </c>
      <c r="J18" s="151" t="e">
        <f t="shared" si="5"/>
        <v>#DIV/0!</v>
      </c>
      <c r="K18" s="152">
        <f aca="true" t="shared" si="7" ref="K18:K23">(+I18/G18-1)*100</f>
        <v>9.670241799932743</v>
      </c>
      <c r="L18" s="153">
        <f>+L19+L20</f>
        <v>1207200</v>
      </c>
      <c r="M18" s="154">
        <f aca="true" t="shared" si="8" ref="M18:M23">(L18/G18-1)*100</f>
        <v>-61.23189296467368</v>
      </c>
      <c r="N18" s="155">
        <f t="shared" si="4"/>
        <v>20.836312181404637</v>
      </c>
      <c r="P18" s="64">
        <f>P19+P20</f>
        <v>737183</v>
      </c>
    </row>
    <row r="19" spans="2:16" ht="16.5">
      <c r="B19" s="144" t="s">
        <v>10</v>
      </c>
      <c r="C19" s="145">
        <v>36073</v>
      </c>
      <c r="D19" s="32">
        <f>+P19/0.585274</f>
        <v>24046.856685928302</v>
      </c>
      <c r="E19" s="147">
        <f>3493+27630</f>
        <v>31123</v>
      </c>
      <c r="F19" s="148">
        <f t="shared" si="6"/>
        <v>29.426479337785963</v>
      </c>
      <c r="G19" s="149">
        <v>50220</v>
      </c>
      <c r="H19" s="150">
        <f t="shared" si="1"/>
        <v>0.3242053998081365</v>
      </c>
      <c r="I19" s="229">
        <f>+G19*1.3</f>
        <v>65286</v>
      </c>
      <c r="J19" s="151" t="e">
        <f t="shared" si="5"/>
        <v>#DIV/0!</v>
      </c>
      <c r="K19" s="152">
        <f t="shared" si="7"/>
        <v>30.000000000000004</v>
      </c>
      <c r="L19" s="153">
        <v>26700</v>
      </c>
      <c r="M19" s="154">
        <f t="shared" si="8"/>
        <v>-46.83393070489845</v>
      </c>
      <c r="N19" s="155">
        <f t="shared" si="4"/>
        <v>0.3983340981391712</v>
      </c>
      <c r="P19" s="83">
        <f>14074</f>
        <v>14074</v>
      </c>
    </row>
    <row r="20" spans="2:16" ht="16.5">
      <c r="B20" s="144" t="s">
        <v>11</v>
      </c>
      <c r="C20" s="145">
        <v>335601</v>
      </c>
      <c r="D20" s="32">
        <f>SUM(D21:D23)</f>
        <v>1235505.0796720854</v>
      </c>
      <c r="E20" s="147">
        <f>SUM(E21:E23)</f>
        <v>1388252</v>
      </c>
      <c r="F20" s="148">
        <f t="shared" si="6"/>
        <v>12.36311552587506</v>
      </c>
      <c r="G20" s="149">
        <f>SUM(G21:G23)</f>
        <v>3063679.78081719</v>
      </c>
      <c r="H20" s="150">
        <f t="shared" si="1"/>
        <v>19.778206456072105</v>
      </c>
      <c r="I20" s="147">
        <f>SUM(I21:I23)</f>
        <v>3349735.419029788</v>
      </c>
      <c r="J20" s="151" t="e">
        <f t="shared" si="5"/>
        <v>#DIV/0!</v>
      </c>
      <c r="K20" s="152">
        <f t="shared" si="7"/>
        <v>9.33699533494643</v>
      </c>
      <c r="L20" s="153">
        <f>+L21+L22+L23</f>
        <v>1180500</v>
      </c>
      <c r="M20" s="154">
        <f t="shared" si="8"/>
        <v>-61.467905118820234</v>
      </c>
      <c r="N20" s="155">
        <f t="shared" si="4"/>
        <v>20.437978083265467</v>
      </c>
      <c r="P20" s="64">
        <f>SUM(P21:P23)</f>
        <v>723109</v>
      </c>
    </row>
    <row r="21" spans="2:18" ht="16.5">
      <c r="B21" s="144" t="s">
        <v>12</v>
      </c>
      <c r="C21" s="145">
        <v>88941</v>
      </c>
      <c r="D21" s="32">
        <f>+P21/0.585274</f>
        <v>301344.3276140748</v>
      </c>
      <c r="E21" s="147">
        <f>34818+276579</f>
        <v>311397</v>
      </c>
      <c r="F21" s="148">
        <f t="shared" si="6"/>
        <v>3.335942131553722</v>
      </c>
      <c r="G21" s="149">
        <v>620261.6210527036</v>
      </c>
      <c r="H21" s="150">
        <f t="shared" si="1"/>
        <v>4.004224747889977</v>
      </c>
      <c r="I21" s="229">
        <f>+G21*1.05</f>
        <v>651274.7021053388</v>
      </c>
      <c r="J21" s="151" t="e">
        <f t="shared" si="5"/>
        <v>#DIV/0!</v>
      </c>
      <c r="K21" s="152">
        <f t="shared" si="7"/>
        <v>5.000000000000004</v>
      </c>
      <c r="L21" s="153">
        <v>347400</v>
      </c>
      <c r="M21" s="154">
        <f t="shared" si="8"/>
        <v>-43.99137586323732</v>
      </c>
      <c r="N21" s="155">
        <f t="shared" si="4"/>
        <v>3.9736684910086</v>
      </c>
      <c r="P21" s="64">
        <f>178394-2025</f>
        <v>176369</v>
      </c>
      <c r="R21" s="227"/>
    </row>
    <row r="22" spans="2:18" ht="16.5">
      <c r="B22" s="144" t="s">
        <v>13</v>
      </c>
      <c r="C22" s="145">
        <v>178000</v>
      </c>
      <c r="D22" s="34">
        <f>+P22/0.585274</f>
        <v>743016.091608375</v>
      </c>
      <c r="E22" s="147">
        <v>866846</v>
      </c>
      <c r="F22" s="148">
        <f t="shared" si="6"/>
        <v>16.665844763008536</v>
      </c>
      <c r="G22" s="149">
        <v>1599531.1597644866</v>
      </c>
      <c r="H22" s="150">
        <f t="shared" si="1"/>
        <v>10.326097952150889</v>
      </c>
      <c r="I22" s="229">
        <f>+G22*1.17</f>
        <v>1871451.4569244492</v>
      </c>
      <c r="J22" s="151" t="e">
        <f t="shared" si="5"/>
        <v>#DIV/0!</v>
      </c>
      <c r="K22" s="152">
        <f t="shared" si="7"/>
        <v>16.999999999999993</v>
      </c>
      <c r="L22" s="153">
        <f>685300-5000</f>
        <v>680300</v>
      </c>
      <c r="M22" s="154">
        <f t="shared" si="8"/>
        <v>-57.46878728513381</v>
      </c>
      <c r="N22" s="155">
        <f t="shared" si="4"/>
        <v>11.418419390148552</v>
      </c>
      <c r="P22" s="66">
        <v>434868</v>
      </c>
      <c r="R22" s="227"/>
    </row>
    <row r="23" spans="2:18" ht="16.5">
      <c r="B23" s="144" t="s">
        <v>8</v>
      </c>
      <c r="C23" s="145">
        <f>335601-C22</f>
        <v>157601</v>
      </c>
      <c r="D23" s="34">
        <f>+P23/0.585274</f>
        <v>191144.66044963556</v>
      </c>
      <c r="E23" s="147">
        <v>210009</v>
      </c>
      <c r="F23" s="148">
        <f t="shared" si="6"/>
        <v>9.869142829304906</v>
      </c>
      <c r="G23" s="149">
        <f>3113900-2270013</f>
        <v>843887</v>
      </c>
      <c r="H23" s="150">
        <f t="shared" si="1"/>
        <v>5.44788375603124</v>
      </c>
      <c r="I23" s="229">
        <f>G23*0.98</f>
        <v>827009.26</v>
      </c>
      <c r="J23" s="151" t="e">
        <f t="shared" si="5"/>
        <v>#DIV/0!</v>
      </c>
      <c r="K23" s="152">
        <f t="shared" si="7"/>
        <v>-2.0000000000000018</v>
      </c>
      <c r="L23" s="153">
        <v>152800</v>
      </c>
      <c r="M23" s="154">
        <f t="shared" si="8"/>
        <v>-81.89331036027335</v>
      </c>
      <c r="N23" s="155">
        <f t="shared" si="4"/>
        <v>5.045890202108313</v>
      </c>
      <c r="P23" s="66">
        <f>125676-13804</f>
        <v>111872</v>
      </c>
      <c r="R23" s="227"/>
    </row>
    <row r="24" spans="2:18" ht="16.5">
      <c r="B24" s="166"/>
      <c r="C24" s="167"/>
      <c r="D24" s="35"/>
      <c r="E24" s="169"/>
      <c r="F24" s="167"/>
      <c r="G24" s="149"/>
      <c r="H24" s="150"/>
      <c r="I24" s="170"/>
      <c r="J24" s="171"/>
      <c r="K24" s="172"/>
      <c r="L24" s="158"/>
      <c r="M24" s="158"/>
      <c r="N24" s="155"/>
      <c r="P24" s="67"/>
      <c r="R24" s="227"/>
    </row>
    <row r="25" spans="1:18" ht="16.5">
      <c r="A25" s="173" t="s">
        <v>51</v>
      </c>
      <c r="B25" s="144" t="s">
        <v>23</v>
      </c>
      <c r="C25" s="145">
        <v>150018</v>
      </c>
      <c r="D25" s="32">
        <f>+P25/0.585274</f>
        <v>343123.05005860503</v>
      </c>
      <c r="E25" s="147">
        <v>439601</v>
      </c>
      <c r="F25" s="148">
        <f>(+E25/D25)*100-100</f>
        <v>28.11759510907723</v>
      </c>
      <c r="G25" s="149">
        <v>1247800</v>
      </c>
      <c r="H25" s="150">
        <f t="shared" si="1"/>
        <v>8.055426082847326</v>
      </c>
      <c r="I25" s="229">
        <f>+G25*1.0728</f>
        <v>1338639.84</v>
      </c>
      <c r="J25" s="151" t="e">
        <f>+I25/1000/$K$58*100</f>
        <v>#DIV/0!</v>
      </c>
      <c r="K25" s="152">
        <f>(+I25/G25-1)*100</f>
        <v>7.279999999999998</v>
      </c>
      <c r="L25" s="153">
        <v>436800</v>
      </c>
      <c r="M25" s="154">
        <f>(L25/G25-1)*100</f>
        <v>-64.99439012662286</v>
      </c>
      <c r="N25" s="155">
        <f>+I25/1000/$I$58*100</f>
        <v>8.167538115362625</v>
      </c>
      <c r="P25" s="64">
        <v>200821</v>
      </c>
      <c r="R25" s="227"/>
    </row>
    <row r="26" spans="1:18" ht="16.5">
      <c r="A26" s="93" t="s">
        <v>49</v>
      </c>
      <c r="B26" s="144" t="s">
        <v>14</v>
      </c>
      <c r="C26" s="145">
        <v>125938</v>
      </c>
      <c r="D26" s="32">
        <f>+P26/0.585274</f>
        <v>319696.4156958963</v>
      </c>
      <c r="E26" s="147">
        <f>218455+98166+378</f>
        <v>316999</v>
      </c>
      <c r="F26" s="148">
        <f>(+E26/D26)*100-100</f>
        <v>-0.8437428646250993</v>
      </c>
      <c r="G26" s="149">
        <v>754500</v>
      </c>
      <c r="H26" s="150">
        <f t="shared" si="1"/>
        <v>4.870827840606113</v>
      </c>
      <c r="I26" s="229">
        <f>+G26*0.9397</f>
        <v>709003.65</v>
      </c>
      <c r="J26" s="151" t="e">
        <f>+I26/1000/$K$58*100</f>
        <v>#DIV/0!</v>
      </c>
      <c r="K26" s="152">
        <f>(+I26/G26-1)*100</f>
        <v>-6.030000000000002</v>
      </c>
      <c r="L26" s="153">
        <v>382000</v>
      </c>
      <c r="M26" s="154">
        <f>(L26/G26-1)*100</f>
        <v>-49.37044400265076</v>
      </c>
      <c r="N26" s="155">
        <f>+I26/1000/$I$58*100</f>
        <v>4.325894211624706</v>
      </c>
      <c r="P26" s="64">
        <f>58631+5095+123384</f>
        <v>187110</v>
      </c>
      <c r="R26" s="227"/>
    </row>
    <row r="27" spans="2:18" ht="16.5">
      <c r="B27" s="144" t="s">
        <v>15</v>
      </c>
      <c r="C27" s="145">
        <v>355</v>
      </c>
      <c r="D27" s="32">
        <v>0</v>
      </c>
      <c r="E27" s="147">
        <v>0</v>
      </c>
      <c r="F27" s="148">
        <v>0</v>
      </c>
      <c r="G27" s="149">
        <v>11500</v>
      </c>
      <c r="H27" s="150">
        <f t="shared" si="1"/>
        <v>0.07424058338895997</v>
      </c>
      <c r="I27" s="159">
        <v>0</v>
      </c>
      <c r="J27" s="151" t="e">
        <f>+I27/1000/$K$58*100</f>
        <v>#DIV/0!</v>
      </c>
      <c r="K27" s="152">
        <f>(+I27/G27-1)*100</f>
        <v>-100</v>
      </c>
      <c r="L27" s="153" t="e">
        <f>I27/(1+K27/100)*(1+F27/100)</f>
        <v>#DIV/0!</v>
      </c>
      <c r="M27" s="154"/>
      <c r="N27" s="155">
        <f>+I27/1000/$I$58*100</f>
        <v>0</v>
      </c>
      <c r="P27" s="64">
        <v>0</v>
      </c>
      <c r="R27" s="227"/>
    </row>
    <row r="28" spans="2:18" ht="16.5">
      <c r="B28" s="144" t="s">
        <v>39</v>
      </c>
      <c r="C28" s="145">
        <v>567</v>
      </c>
      <c r="D28" s="32">
        <f>+P28/0.585274</f>
        <v>11396.371613979094</v>
      </c>
      <c r="E28" s="147">
        <v>8727</v>
      </c>
      <c r="F28" s="148">
        <f>(+E28/D28)*100-100</f>
        <v>-23.422995532233884</v>
      </c>
      <c r="G28" s="149">
        <v>0</v>
      </c>
      <c r="H28" s="150">
        <f t="shared" si="1"/>
        <v>0</v>
      </c>
      <c r="I28" s="147">
        <v>0</v>
      </c>
      <c r="J28" s="151" t="e">
        <f>+I28/1000/$K$58*100</f>
        <v>#DIV/0!</v>
      </c>
      <c r="K28" s="152"/>
      <c r="L28" s="153">
        <v>95000</v>
      </c>
      <c r="M28" s="154" t="e">
        <f>(L28/G28-1)*100</f>
        <v>#DIV/0!</v>
      </c>
      <c r="N28" s="155">
        <f>+I28/1000/$I$58*100</f>
        <v>0</v>
      </c>
      <c r="P28" s="64">
        <v>6670</v>
      </c>
      <c r="R28" s="227"/>
    </row>
    <row r="29" spans="2:18" ht="16.5">
      <c r="B29" s="166"/>
      <c r="C29" s="167"/>
      <c r="D29" s="35"/>
      <c r="E29" s="169"/>
      <c r="F29" s="167"/>
      <c r="G29" s="149">
        <v>0</v>
      </c>
      <c r="H29" s="150"/>
      <c r="I29" s="169"/>
      <c r="J29" s="171"/>
      <c r="K29" s="172"/>
      <c r="L29" s="158"/>
      <c r="M29" s="158"/>
      <c r="N29" s="155"/>
      <c r="P29" s="67"/>
      <c r="R29" s="227"/>
    </row>
    <row r="30" spans="2:19" ht="16.5">
      <c r="B30" s="144" t="s">
        <v>36</v>
      </c>
      <c r="C30" s="156">
        <f>+C32+C46</f>
        <v>1016432</v>
      </c>
      <c r="D30" s="34">
        <f>+D32+D46</f>
        <v>2585772.5668251114</v>
      </c>
      <c r="E30" s="147">
        <f>+E32+E46</f>
        <v>2847517</v>
      </c>
      <c r="F30" s="174">
        <f>(+E30/D30)*100-100</f>
        <v>10.12248472789183</v>
      </c>
      <c r="G30" s="149">
        <f>+G32+G46</f>
        <v>6798200.374990176</v>
      </c>
      <c r="H30" s="150">
        <f t="shared" si="1"/>
        <v>43.88716189863627</v>
      </c>
      <c r="I30" s="147">
        <f>+I32+I46</f>
        <v>7446487.178696405</v>
      </c>
      <c r="J30" s="151" t="e">
        <f>+I30/1000/$K$58*100</f>
        <v>#DIV/0!</v>
      </c>
      <c r="K30" s="152">
        <f>(+I30/G30-1)*100</f>
        <v>9.536153216242393</v>
      </c>
      <c r="L30" s="153">
        <f>+L32</f>
        <v>3115750</v>
      </c>
      <c r="M30" s="154">
        <f>(L30/G30-1)*100</f>
        <v>-54.16801759091277</v>
      </c>
      <c r="N30" s="155">
        <f>+I30/1000/$I$58*100</f>
        <v>45.43377990121824</v>
      </c>
      <c r="P30" s="66">
        <f>+P32+P46</f>
        <v>1513384</v>
      </c>
      <c r="R30" s="15"/>
      <c r="S30" s="227"/>
    </row>
    <row r="31" spans="2:18" ht="16.5">
      <c r="B31" s="144"/>
      <c r="C31" s="164"/>
      <c r="D31" s="33"/>
      <c r="E31" s="162"/>
      <c r="F31" s="174"/>
      <c r="G31" s="149"/>
      <c r="H31" s="150"/>
      <c r="I31" s="162"/>
      <c r="J31" s="175"/>
      <c r="K31" s="152"/>
      <c r="L31" s="158"/>
      <c r="M31" s="154"/>
      <c r="N31" s="155"/>
      <c r="P31" s="65"/>
      <c r="R31" s="16"/>
    </row>
    <row r="32" spans="2:18" ht="16.5">
      <c r="B32" s="144" t="s">
        <v>37</v>
      </c>
      <c r="C32" s="145">
        <f>+C33+C43</f>
        <v>1008790</v>
      </c>
      <c r="D32" s="34">
        <f>+D33+D43</f>
        <v>2585772.5668251114</v>
      </c>
      <c r="E32" s="147">
        <f>+E33+E43</f>
        <v>2847517</v>
      </c>
      <c r="F32" s="174">
        <f aca="true" t="shared" si="9" ref="F32:F44">(+E32/D32)*100-100</f>
        <v>10.12248472789183</v>
      </c>
      <c r="G32" s="149">
        <f>+G33+G43</f>
        <v>6798200.374990176</v>
      </c>
      <c r="H32" s="150">
        <f t="shared" si="1"/>
        <v>43.88716189863627</v>
      </c>
      <c r="I32" s="147">
        <f>+I33+I43</f>
        <v>7446487.178696405</v>
      </c>
      <c r="J32" s="151" t="e">
        <f aca="true" t="shared" si="10" ref="J32:J45">+I32/1000/$K$58*100</f>
        <v>#DIV/0!</v>
      </c>
      <c r="K32" s="152">
        <f aca="true" t="shared" si="11" ref="K32:K45">(+I32/G32-1)*100</f>
        <v>9.536153216242393</v>
      </c>
      <c r="L32" s="153">
        <f>+L33+L43</f>
        <v>3115750</v>
      </c>
      <c r="M32" s="154">
        <f aca="true" t="shared" si="12" ref="M32:M44">(L32/G32-1)*100</f>
        <v>-54.16801759091277</v>
      </c>
      <c r="N32" s="155">
        <f aca="true" t="shared" si="13" ref="N32:N46">+I32/1000/$I$58*100</f>
        <v>45.43377990121824</v>
      </c>
      <c r="P32" s="66">
        <f>+P33+P43</f>
        <v>1513384</v>
      </c>
      <c r="R32" s="15"/>
    </row>
    <row r="33" spans="2:18" ht="16.5">
      <c r="B33" s="144" t="s">
        <v>34</v>
      </c>
      <c r="C33" s="145">
        <f>SUM(C34:C42)</f>
        <v>937943</v>
      </c>
      <c r="D33" s="34">
        <f>SUM(D34:D42)</f>
        <v>2489895.618493219</v>
      </c>
      <c r="E33" s="147">
        <f>SUM(E34:E42)</f>
        <v>2740925</v>
      </c>
      <c r="F33" s="174">
        <f t="shared" si="9"/>
        <v>10.081923902444288</v>
      </c>
      <c r="G33" s="149">
        <f>SUM(G34:G42)</f>
        <v>6205300.374990176</v>
      </c>
      <c r="H33" s="150">
        <f t="shared" si="1"/>
        <v>40.059575647217635</v>
      </c>
      <c r="I33" s="147">
        <f>SUM(I34:I42)</f>
        <v>6778950.178696405</v>
      </c>
      <c r="J33" s="151" t="e">
        <f t="shared" si="10"/>
        <v>#DIV/0!</v>
      </c>
      <c r="K33" s="152">
        <f t="shared" si="11"/>
        <v>9.244513062063287</v>
      </c>
      <c r="L33" s="153">
        <f>SUM(L34:L42)</f>
        <v>2894990</v>
      </c>
      <c r="M33" s="154">
        <f t="shared" si="12"/>
        <v>-53.346496945289566</v>
      </c>
      <c r="N33" s="155">
        <f t="shared" si="13"/>
        <v>41.36088909967536</v>
      </c>
      <c r="P33" s="66">
        <f>SUM(P34:P42)</f>
        <v>1457271</v>
      </c>
      <c r="R33" s="15"/>
    </row>
    <row r="34" spans="2:18" ht="16.5">
      <c r="B34" s="133" t="s">
        <v>17</v>
      </c>
      <c r="C34" s="160">
        <v>269354</v>
      </c>
      <c r="D34" s="33">
        <f>+P34/0.585274</f>
        <v>728387.0460673121</v>
      </c>
      <c r="E34" s="162">
        <v>780616</v>
      </c>
      <c r="F34" s="176">
        <f t="shared" si="9"/>
        <v>7.170494617481339</v>
      </c>
      <c r="G34" s="149">
        <v>2256200</v>
      </c>
      <c r="H34" s="150">
        <f t="shared" si="1"/>
        <v>14.565356890623606</v>
      </c>
      <c r="I34" s="229">
        <f>+G34*1.09</f>
        <v>2459258</v>
      </c>
      <c r="J34" s="151" t="e">
        <f t="shared" si="10"/>
        <v>#DIV/0!</v>
      </c>
      <c r="K34" s="152">
        <f t="shared" si="11"/>
        <v>9.000000000000007</v>
      </c>
      <c r="L34" s="177">
        <v>820700</v>
      </c>
      <c r="M34" s="154">
        <f t="shared" si="12"/>
        <v>-63.624678663239074</v>
      </c>
      <c r="N34" s="155">
        <f t="shared" si="13"/>
        <v>15.004845104946568</v>
      </c>
      <c r="P34" s="65">
        <v>426306</v>
      </c>
      <c r="R34" s="227"/>
    </row>
    <row r="35" spans="1:18" ht="16.5">
      <c r="A35" s="93" t="s">
        <v>54</v>
      </c>
      <c r="B35" s="133" t="s">
        <v>18</v>
      </c>
      <c r="C35" s="160">
        <v>76954</v>
      </c>
      <c r="D35" s="33">
        <f>+((112225+33))/0.585274-171-2012-3671-3322-361-312-1-7371-95-240-497-3326-1164</f>
        <v>169261.18060600676</v>
      </c>
      <c r="E35" s="162">
        <f>195400+33-1203-3563-2232-4-163-56-14-190-246-790-55</f>
        <v>186917</v>
      </c>
      <c r="F35" s="176">
        <f t="shared" si="9"/>
        <v>10.431109679596943</v>
      </c>
      <c r="G35" s="149">
        <v>788500</v>
      </c>
      <c r="H35" s="150">
        <f t="shared" si="1"/>
        <v>5.090321739321299</v>
      </c>
      <c r="I35" s="229">
        <f>+G35*1.0798</f>
        <v>851422.3</v>
      </c>
      <c r="J35" s="151" t="e">
        <f t="shared" si="10"/>
        <v>#DIV/0!</v>
      </c>
      <c r="K35" s="152">
        <f t="shared" si="11"/>
        <v>7.980000000000009</v>
      </c>
      <c r="L35" s="177">
        <v>207290</v>
      </c>
      <c r="M35" s="154">
        <f t="shared" si="12"/>
        <v>-73.71084337349399</v>
      </c>
      <c r="N35" s="155">
        <f t="shared" si="13"/>
        <v>5.194843213033098</v>
      </c>
      <c r="P35" s="65">
        <f>112225+33-13194</f>
        <v>99064</v>
      </c>
      <c r="R35" s="227"/>
    </row>
    <row r="36" spans="2:18" ht="16.5">
      <c r="B36" s="133" t="s">
        <v>19</v>
      </c>
      <c r="C36" s="160">
        <v>15523</v>
      </c>
      <c r="D36" s="33">
        <f aca="true" t="shared" si="14" ref="D36:D42">+P36/0.585274</f>
        <v>28340.572108106633</v>
      </c>
      <c r="E36" s="162">
        <v>23005</v>
      </c>
      <c r="F36" s="176">
        <f t="shared" si="9"/>
        <v>-18.826621028516314</v>
      </c>
      <c r="G36" s="149">
        <v>65500</v>
      </c>
      <c r="H36" s="150">
        <f t="shared" si="1"/>
        <v>0.42284854017190243</v>
      </c>
      <c r="I36" s="229">
        <v>100000</v>
      </c>
      <c r="J36" s="151" t="e">
        <f t="shared" si="10"/>
        <v>#DIV/0!</v>
      </c>
      <c r="K36" s="152">
        <f t="shared" si="11"/>
        <v>52.67175572519085</v>
      </c>
      <c r="L36" s="177">
        <v>50000</v>
      </c>
      <c r="M36" s="154">
        <f t="shared" si="12"/>
        <v>-23.664122137404576</v>
      </c>
      <c r="N36" s="155">
        <f t="shared" si="13"/>
        <v>0.6101370862653114</v>
      </c>
      <c r="P36" s="65">
        <v>16587</v>
      </c>
      <c r="R36" s="227"/>
    </row>
    <row r="37" spans="2:18" ht="16.5">
      <c r="B37" s="133" t="s">
        <v>20</v>
      </c>
      <c r="C37" s="160">
        <v>155726</v>
      </c>
      <c r="D37" s="33">
        <f t="shared" si="14"/>
        <v>276268.89286043803</v>
      </c>
      <c r="E37" s="162">
        <v>276997</v>
      </c>
      <c r="F37" s="176">
        <f t="shared" si="9"/>
        <v>0.263550171003061</v>
      </c>
      <c r="G37" s="149">
        <v>502800</v>
      </c>
      <c r="H37" s="150">
        <f t="shared" si="1"/>
        <v>3.2459274198233983</v>
      </c>
      <c r="I37" s="229">
        <v>502800</v>
      </c>
      <c r="J37" s="151" t="e">
        <f t="shared" si="10"/>
        <v>#DIV/0!</v>
      </c>
      <c r="K37" s="152">
        <f t="shared" si="11"/>
        <v>0</v>
      </c>
      <c r="L37" s="177">
        <v>382000</v>
      </c>
      <c r="M37" s="154">
        <f t="shared" si="12"/>
        <v>-24.025457438345267</v>
      </c>
      <c r="N37" s="155">
        <f t="shared" si="13"/>
        <v>3.0677692697419854</v>
      </c>
      <c r="P37" s="65">
        <v>161693</v>
      </c>
      <c r="R37" s="227"/>
    </row>
    <row r="38" spans="2:18" ht="16.5">
      <c r="B38" s="133" t="s">
        <v>21</v>
      </c>
      <c r="C38" s="179">
        <v>146560</v>
      </c>
      <c r="D38" s="36">
        <f t="shared" si="14"/>
        <v>413900.1561661718</v>
      </c>
      <c r="E38" s="181">
        <f>403031+51853+12751</f>
        <v>467635</v>
      </c>
      <c r="F38" s="176">
        <f t="shared" si="9"/>
        <v>12.982561865053981</v>
      </c>
      <c r="G38" s="149">
        <v>1872400</v>
      </c>
      <c r="H38" s="150">
        <f t="shared" si="1"/>
        <v>12.087658116303361</v>
      </c>
      <c r="I38" s="229">
        <f>+G38*1.095</f>
        <v>2050278</v>
      </c>
      <c r="J38" s="151" t="e">
        <f t="shared" si="10"/>
        <v>#DIV/0!</v>
      </c>
      <c r="K38" s="152">
        <f t="shared" si="11"/>
        <v>9.499999999999996</v>
      </c>
      <c r="L38" s="177">
        <v>492460</v>
      </c>
      <c r="M38" s="154">
        <f t="shared" si="12"/>
        <v>-73.69899594103823</v>
      </c>
      <c r="N38" s="155">
        <f t="shared" si="13"/>
        <v>12.509506449538698</v>
      </c>
      <c r="P38" s="59">
        <f>230978+860+10407</f>
        <v>242245</v>
      </c>
      <c r="R38" s="227"/>
    </row>
    <row r="39" spans="1:18" ht="16.5">
      <c r="A39" s="93" t="s">
        <v>41</v>
      </c>
      <c r="B39" s="133" t="s">
        <v>24</v>
      </c>
      <c r="C39" s="179">
        <v>56713</v>
      </c>
      <c r="D39" s="36">
        <f t="shared" si="14"/>
        <v>153307.68153036016</v>
      </c>
      <c r="E39" s="181">
        <f>691+20157+122066</f>
        <v>142914</v>
      </c>
      <c r="F39" s="176">
        <f t="shared" si="9"/>
        <v>-6.7796221471797935</v>
      </c>
      <c r="G39" s="149">
        <f>197220/0.585274</f>
        <v>336970.3762682094</v>
      </c>
      <c r="H39" s="150">
        <f t="shared" si="1"/>
        <v>2.1753806364303667</v>
      </c>
      <c r="I39" s="229">
        <v>338640</v>
      </c>
      <c r="J39" s="151" t="e">
        <f t="shared" si="10"/>
        <v>#DIV/0!</v>
      </c>
      <c r="K39" s="152">
        <f t="shared" si="11"/>
        <v>0.495480864009723</v>
      </c>
      <c r="L39" s="177">
        <v>160000</v>
      </c>
      <c r="M39" s="154">
        <f t="shared" si="12"/>
        <v>-52.51808133049387</v>
      </c>
      <c r="N39" s="155">
        <f t="shared" si="13"/>
        <v>2.0661682289288503</v>
      </c>
      <c r="P39" s="59">
        <f>88+23320+66319</f>
        <v>89727</v>
      </c>
      <c r="R39" s="227"/>
    </row>
    <row r="40" spans="1:19" ht="16.5">
      <c r="A40" s="183" t="s">
        <v>42</v>
      </c>
      <c r="B40" s="133" t="s">
        <v>25</v>
      </c>
      <c r="C40" s="179">
        <v>12501</v>
      </c>
      <c r="D40" s="36">
        <f t="shared" si="14"/>
        <v>24433.00061167932</v>
      </c>
      <c r="E40" s="181">
        <v>24809</v>
      </c>
      <c r="F40" s="176">
        <f t="shared" si="9"/>
        <v>1.5388997622377616</v>
      </c>
      <c r="G40" s="149">
        <v>52301.99872196613</v>
      </c>
      <c r="H40" s="150">
        <f t="shared" si="1"/>
        <v>0.337646165002383</v>
      </c>
      <c r="I40" s="229">
        <f>+G40*1.02</f>
        <v>53348.03869640545</v>
      </c>
      <c r="J40" s="151" t="e">
        <f t="shared" si="10"/>
        <v>#DIV/0!</v>
      </c>
      <c r="K40" s="152">
        <f t="shared" si="11"/>
        <v>2.0000000000000018</v>
      </c>
      <c r="L40" s="177">
        <v>19720</v>
      </c>
      <c r="M40" s="154">
        <f t="shared" si="12"/>
        <v>-62.2958959851034</v>
      </c>
      <c r="N40" s="155">
        <f t="shared" si="13"/>
        <v>0.325496168881939</v>
      </c>
      <c r="P40" s="59">
        <v>14300</v>
      </c>
      <c r="R40" s="227"/>
      <c r="S40" s="227"/>
    </row>
    <row r="41" spans="1:18" ht="16.5">
      <c r="A41" s="93" t="s">
        <v>44</v>
      </c>
      <c r="B41" s="133" t="s">
        <v>26</v>
      </c>
      <c r="C41" s="184">
        <v>140242</v>
      </c>
      <c r="D41" s="36">
        <f t="shared" si="14"/>
        <v>653601.5609782769</v>
      </c>
      <c r="E41" s="181">
        <f>291383+414369+278128-E39-E40</f>
        <v>816157</v>
      </c>
      <c r="F41" s="176">
        <f t="shared" si="9"/>
        <v>24.870723805864017</v>
      </c>
      <c r="G41" s="149">
        <f>6798200-6467572</f>
        <v>330628</v>
      </c>
      <c r="H41" s="150">
        <f t="shared" si="1"/>
        <v>2.134436139541309</v>
      </c>
      <c r="I41" s="230">
        <f>+G41*1.28</f>
        <v>423203.84</v>
      </c>
      <c r="J41" s="151" t="e">
        <f t="shared" si="10"/>
        <v>#DIV/0!</v>
      </c>
      <c r="K41" s="152">
        <f t="shared" si="11"/>
        <v>28.000000000000004</v>
      </c>
      <c r="L41" s="177">
        <f>857820-L39</f>
        <v>697820</v>
      </c>
      <c r="M41" s="154">
        <f t="shared" si="12"/>
        <v>111.05895447451518</v>
      </c>
      <c r="N41" s="155">
        <f t="shared" si="13"/>
        <v>2.5821235783389103</v>
      </c>
      <c r="P41" s="59">
        <v>382536</v>
      </c>
      <c r="R41" s="227"/>
    </row>
    <row r="42" spans="1:19" ht="16.5">
      <c r="A42" s="183" t="s">
        <v>53</v>
      </c>
      <c r="B42" s="166" t="s">
        <v>27</v>
      </c>
      <c r="C42" s="184">
        <v>64370</v>
      </c>
      <c r="D42" s="36">
        <f t="shared" si="14"/>
        <v>42395.52756486706</v>
      </c>
      <c r="E42" s="181">
        <f>4505+17370</f>
        <v>21875</v>
      </c>
      <c r="F42" s="176">
        <f t="shared" si="9"/>
        <v>-48.402576270503374</v>
      </c>
      <c r="G42" s="149">
        <v>0</v>
      </c>
      <c r="H42" s="150">
        <f t="shared" si="1"/>
        <v>0</v>
      </c>
      <c r="I42" s="229">
        <v>0</v>
      </c>
      <c r="J42" s="151" t="e">
        <f t="shared" si="10"/>
        <v>#DIV/0!</v>
      </c>
      <c r="K42" s="152" t="e">
        <f t="shared" si="11"/>
        <v>#DIV/0!</v>
      </c>
      <c r="L42" s="177">
        <v>65000</v>
      </c>
      <c r="M42" s="154" t="e">
        <f t="shared" si="12"/>
        <v>#DIV/0!</v>
      </c>
      <c r="N42" s="155">
        <f t="shared" si="13"/>
        <v>0</v>
      </c>
      <c r="P42" s="59">
        <f>17809+7004</f>
        <v>24813</v>
      </c>
      <c r="R42" s="227"/>
      <c r="S42" s="227"/>
    </row>
    <row r="43" spans="2:18" ht="16.5">
      <c r="B43" s="144" t="s">
        <v>35</v>
      </c>
      <c r="C43" s="185">
        <f>+C44+C45</f>
        <v>70847</v>
      </c>
      <c r="D43" s="37">
        <f>+D44+D45</f>
        <v>95876.94833189242</v>
      </c>
      <c r="E43" s="187">
        <f>+E44+E45</f>
        <v>106592</v>
      </c>
      <c r="F43" s="174">
        <f t="shared" si="9"/>
        <v>11.175837210646122</v>
      </c>
      <c r="G43" s="149">
        <f>+G44+G45</f>
        <v>592900</v>
      </c>
      <c r="H43" s="150">
        <f t="shared" si="1"/>
        <v>3.8275862514186403</v>
      </c>
      <c r="I43" s="187">
        <f>+I44+I45</f>
        <v>667537</v>
      </c>
      <c r="J43" s="151" t="e">
        <f t="shared" si="10"/>
        <v>#DIV/0!</v>
      </c>
      <c r="K43" s="152">
        <f t="shared" si="11"/>
        <v>12.588463484567392</v>
      </c>
      <c r="L43" s="153">
        <f>+L44+L45</f>
        <v>220760</v>
      </c>
      <c r="M43" s="154">
        <f t="shared" si="12"/>
        <v>-62.76606510372744</v>
      </c>
      <c r="N43" s="155">
        <f t="shared" si="13"/>
        <v>4.072890801542871</v>
      </c>
      <c r="P43" s="60">
        <f>+P44+P45</f>
        <v>56113</v>
      </c>
      <c r="R43" s="227"/>
    </row>
    <row r="44" spans="1:18" ht="16.5">
      <c r="A44" s="173" t="s">
        <v>72</v>
      </c>
      <c r="B44" s="133" t="s">
        <v>28</v>
      </c>
      <c r="C44" s="184">
        <v>53202</v>
      </c>
      <c r="D44" s="36">
        <f>(60728/0.585274)-113-1197-16-24-106-1272-408-3294-1364-89</f>
        <v>95876.94833189242</v>
      </c>
      <c r="E44" s="181">
        <f>115445-24-182-59-33-1110-630-908-3855-1982-70</f>
        <v>106592</v>
      </c>
      <c r="F44" s="176">
        <f t="shared" si="9"/>
        <v>11.175837210646122</v>
      </c>
      <c r="G44" s="149">
        <v>476600</v>
      </c>
      <c r="H44" s="150">
        <f t="shared" si="1"/>
        <v>3.076788003754637</v>
      </c>
      <c r="I44" s="231">
        <f>+G44*1.12</f>
        <v>533792</v>
      </c>
      <c r="J44" s="151" t="e">
        <f t="shared" si="10"/>
        <v>#DIV/0!</v>
      </c>
      <c r="K44" s="152">
        <f t="shared" si="11"/>
        <v>12.00000000000001</v>
      </c>
      <c r="L44" s="177">
        <v>220760</v>
      </c>
      <c r="M44" s="154">
        <f t="shared" si="12"/>
        <v>-53.6802349979018</v>
      </c>
      <c r="N44" s="155">
        <f t="shared" si="13"/>
        <v>3.256862955517331</v>
      </c>
      <c r="P44" s="59">
        <f>60728-4615</f>
        <v>56113</v>
      </c>
      <c r="R44" s="227"/>
    </row>
    <row r="45" spans="2:18" ht="16.5">
      <c r="B45" s="133" t="s">
        <v>29</v>
      </c>
      <c r="C45" s="184">
        <f>11749+5896</f>
        <v>17645</v>
      </c>
      <c r="D45" s="36">
        <v>0</v>
      </c>
      <c r="E45" s="181">
        <v>0</v>
      </c>
      <c r="F45" s="176">
        <v>0</v>
      </c>
      <c r="G45" s="149">
        <v>116300</v>
      </c>
      <c r="H45" s="150">
        <f t="shared" si="1"/>
        <v>0.7507982476640039</v>
      </c>
      <c r="I45" s="231">
        <f>G45*1.15</f>
        <v>133745</v>
      </c>
      <c r="J45" s="151" t="e">
        <f t="shared" si="10"/>
        <v>#DIV/0!</v>
      </c>
      <c r="K45" s="152">
        <f t="shared" si="11"/>
        <v>14.999999999999991</v>
      </c>
      <c r="L45" s="177">
        <v>0</v>
      </c>
      <c r="M45" s="189">
        <v>0</v>
      </c>
      <c r="N45" s="155">
        <f t="shared" si="13"/>
        <v>0.8160278460255407</v>
      </c>
      <c r="P45" s="59">
        <v>0</v>
      </c>
      <c r="R45" s="227"/>
    </row>
    <row r="46" spans="2:18" ht="16.5">
      <c r="B46" s="144" t="s">
        <v>30</v>
      </c>
      <c r="C46" s="185">
        <v>7642</v>
      </c>
      <c r="D46" s="37">
        <v>0</v>
      </c>
      <c r="E46" s="187">
        <v>0</v>
      </c>
      <c r="F46" s="174"/>
      <c r="G46" s="149">
        <v>0</v>
      </c>
      <c r="H46" s="150">
        <f t="shared" si="1"/>
        <v>0</v>
      </c>
      <c r="I46" s="187">
        <v>0</v>
      </c>
      <c r="J46" s="175"/>
      <c r="K46" s="188"/>
      <c r="L46" s="158"/>
      <c r="M46" s="158"/>
      <c r="N46" s="155">
        <f t="shared" si="13"/>
        <v>0</v>
      </c>
      <c r="P46" s="60">
        <v>0</v>
      </c>
      <c r="R46" s="227"/>
    </row>
    <row r="47" spans="2:16" ht="16.5">
      <c r="B47" s="166"/>
      <c r="C47" s="184"/>
      <c r="D47" s="168"/>
      <c r="E47" s="169"/>
      <c r="F47" s="167"/>
      <c r="G47" s="149"/>
      <c r="H47" s="150"/>
      <c r="I47" s="169"/>
      <c r="J47" s="190"/>
      <c r="K47" s="172"/>
      <c r="L47" s="158"/>
      <c r="M47" s="158"/>
      <c r="N47" s="155"/>
      <c r="P47" s="67"/>
    </row>
    <row r="48" spans="2:16" ht="16.5">
      <c r="B48" s="144" t="s">
        <v>31</v>
      </c>
      <c r="C48" s="185">
        <f>+C12+C28-C33</f>
        <v>-22531</v>
      </c>
      <c r="D48" s="186">
        <f>+D12+D28-D33</f>
        <v>275315.20583863277</v>
      </c>
      <c r="E48" s="187">
        <f>+E12+E28-E33</f>
        <v>240189</v>
      </c>
      <c r="F48" s="174"/>
      <c r="G48" s="149">
        <f>+G12+G28-G33</f>
        <v>1086899.4058270138</v>
      </c>
      <c r="H48" s="150">
        <f t="shared" si="1"/>
        <v>7.016699649887954</v>
      </c>
      <c r="I48" s="187">
        <f>+I12+I28-I33</f>
        <v>769012.3743333835</v>
      </c>
      <c r="J48" s="151" t="e">
        <f>+I48/1000/$K$58*100</f>
        <v>#DIV/0!</v>
      </c>
      <c r="K48" s="152">
        <f>(+I48/G48-1)*100</f>
        <v>-29.247143736522</v>
      </c>
      <c r="L48" s="153">
        <f>+L12+L28-L33</f>
        <v>24210</v>
      </c>
      <c r="M48" s="158"/>
      <c r="N48" s="155">
        <f>+I48/1000/$I$58*100</f>
        <v>4.692029693777395</v>
      </c>
      <c r="P48" s="60">
        <f>+P12+P28-P33</f>
        <v>161135</v>
      </c>
    </row>
    <row r="49" spans="2:16" ht="16.5">
      <c r="B49" s="144"/>
      <c r="C49" s="191"/>
      <c r="D49" s="192"/>
      <c r="E49" s="193"/>
      <c r="F49" s="167"/>
      <c r="G49" s="149"/>
      <c r="H49" s="150"/>
      <c r="I49" s="193"/>
      <c r="J49" s="194"/>
      <c r="K49" s="172"/>
      <c r="L49" s="195"/>
      <c r="M49" s="158"/>
      <c r="N49" s="155"/>
      <c r="P49" s="68"/>
    </row>
    <row r="50" spans="2:16" ht="16.5">
      <c r="B50" s="144" t="s">
        <v>32</v>
      </c>
      <c r="C50" s="185">
        <f>+C9-C30</f>
        <v>-100665</v>
      </c>
      <c r="D50" s="186">
        <f>+D9-D30</f>
        <v>179438.25750674028</v>
      </c>
      <c r="E50" s="187">
        <f>+E9-E30</f>
        <v>133597</v>
      </c>
      <c r="F50" s="167"/>
      <c r="G50" s="149">
        <f>+G9-G30</f>
        <v>505499.4058270138</v>
      </c>
      <c r="H50" s="150">
        <f t="shared" si="1"/>
        <v>3.2633539818582724</v>
      </c>
      <c r="I50" s="187">
        <f>+I9-I30</f>
        <v>101475.37433338352</v>
      </c>
      <c r="J50" s="151" t="e">
        <f>+I50/1000/$K$58*100</f>
        <v>#DIV/0!</v>
      </c>
      <c r="K50" s="172"/>
      <c r="L50" s="153" t="e">
        <f>+L9-L30</f>
        <v>#DIV/0!</v>
      </c>
      <c r="M50" s="158"/>
      <c r="N50" s="155">
        <f>+I50/1000/$I$58*100</f>
        <v>0.6191388922345238</v>
      </c>
      <c r="P50" s="60">
        <f>+P9-P30</f>
        <v>105022</v>
      </c>
    </row>
    <row r="51" spans="2:16" ht="16.5">
      <c r="B51" s="144" t="s">
        <v>22</v>
      </c>
      <c r="C51" s="196">
        <f>+C50/1000/C58*100</f>
        <v>-1.6339068333062816</v>
      </c>
      <c r="D51" s="197">
        <f>+D50/1000/D58*100</f>
        <v>1.1583985843096944</v>
      </c>
      <c r="E51" s="198">
        <f>+E50/1000/E58*100</f>
        <v>0.815124843137868</v>
      </c>
      <c r="F51" s="196"/>
      <c r="G51" s="199">
        <f>+G50/1000/G58*100</f>
        <v>3.2633539818582724</v>
      </c>
      <c r="H51" s="200"/>
      <c r="I51" s="198">
        <f>+I50/1000/I58*100</f>
        <v>0.6191388922345238</v>
      </c>
      <c r="J51" s="151"/>
      <c r="K51" s="172"/>
      <c r="L51" s="154" t="e">
        <f>+L50/1000/M58*100</f>
        <v>#DIV/0!</v>
      </c>
      <c r="M51" s="158"/>
      <c r="N51" s="143"/>
      <c r="P51" s="69">
        <f>+P50/1000/P58*100</f>
        <v>1.1584146142477745</v>
      </c>
    </row>
    <row r="52" spans="2:16" ht="16.5">
      <c r="B52" s="144"/>
      <c r="C52" s="191"/>
      <c r="D52" s="201"/>
      <c r="E52" s="202"/>
      <c r="F52" s="167"/>
      <c r="G52" s="149"/>
      <c r="H52" s="203"/>
      <c r="I52" s="202"/>
      <c r="J52" s="190"/>
      <c r="K52" s="172"/>
      <c r="L52" s="157"/>
      <c r="M52" s="158"/>
      <c r="N52" s="143"/>
      <c r="P52" s="70"/>
    </row>
    <row r="53" spans="2:16" ht="16.5">
      <c r="B53" s="144" t="s">
        <v>33</v>
      </c>
      <c r="C53" s="204">
        <f>+C50+C37</f>
        <v>55061</v>
      </c>
      <c r="D53" s="192">
        <f>+D50+D37</f>
        <v>455707.1503671783</v>
      </c>
      <c r="E53" s="193">
        <f>+E50+E37</f>
        <v>410594</v>
      </c>
      <c r="F53" s="167"/>
      <c r="G53" s="149">
        <v>1051058.1368726443</v>
      </c>
      <c r="H53" s="205"/>
      <c r="I53" s="193">
        <f>+I50+I37</f>
        <v>604275.3743333835</v>
      </c>
      <c r="J53" s="206"/>
      <c r="K53" s="172"/>
      <c r="L53" s="195" t="e">
        <f>+L50+L37</f>
        <v>#DIV/0!</v>
      </c>
      <c r="M53" s="158"/>
      <c r="N53" s="143"/>
      <c r="P53" s="68">
        <f>+P50+P37</f>
        <v>266715</v>
      </c>
    </row>
    <row r="54" spans="2:16" ht="17.25" thickBot="1">
      <c r="B54" s="207"/>
      <c r="C54" s="171"/>
      <c r="D54" s="208"/>
      <c r="E54" s="209"/>
      <c r="F54" s="171"/>
      <c r="G54" s="210"/>
      <c r="H54" s="211"/>
      <c r="I54" s="212"/>
      <c r="J54" s="213"/>
      <c r="K54" s="214"/>
      <c r="L54" s="215"/>
      <c r="M54" s="215"/>
      <c r="N54" s="216"/>
      <c r="P54" s="61"/>
    </row>
    <row r="55" spans="2:11" ht="17.25" thickTop="1">
      <c r="B55" s="217"/>
      <c r="C55" s="218"/>
      <c r="D55" s="217"/>
      <c r="E55" s="217"/>
      <c r="F55" s="217"/>
      <c r="G55" s="217"/>
      <c r="H55" s="219"/>
      <c r="I55" s="217"/>
      <c r="J55" s="217"/>
      <c r="K55" s="219"/>
    </row>
    <row r="56" spans="2:4" ht="16.5">
      <c r="B56" s="220" t="s">
        <v>40</v>
      </c>
      <c r="D56" s="221"/>
    </row>
    <row r="57" spans="2:4" ht="16.5">
      <c r="B57" s="99"/>
      <c r="D57" s="221"/>
    </row>
    <row r="58" spans="2:16" ht="16.5">
      <c r="B58" s="220" t="s">
        <v>62</v>
      </c>
      <c r="C58" s="222">
        <v>6161</v>
      </c>
      <c r="D58" s="223">
        <v>15490.2</v>
      </c>
      <c r="E58" s="223">
        <f>9592.5/0.585274</f>
        <v>16389.75932640097</v>
      </c>
      <c r="F58" s="223"/>
      <c r="G58" s="223">
        <v>15490.18</v>
      </c>
      <c r="H58" s="224"/>
      <c r="I58" s="223">
        <f>9592.5/0.585274</f>
        <v>16389.75932640097</v>
      </c>
      <c r="J58" s="225">
        <v>8260.3</v>
      </c>
      <c r="K58" s="226"/>
      <c r="L58" s="226"/>
      <c r="M58" s="226"/>
      <c r="N58" s="224"/>
      <c r="P58" s="223">
        <f>15490.2*0.585274</f>
        <v>9066.0113148</v>
      </c>
    </row>
    <row r="59" ht="16.5">
      <c r="B59" s="99"/>
    </row>
    <row r="60" ht="16.5">
      <c r="B60" s="220"/>
    </row>
    <row r="62" ht="18" customHeight="1">
      <c r="B62" s="222"/>
    </row>
    <row r="63" ht="18" customHeight="1"/>
    <row r="64" ht="18" customHeight="1"/>
    <row r="65" ht="18" customHeight="1"/>
    <row r="66" ht="18" customHeight="1"/>
  </sheetData>
  <mergeCells count="2">
    <mergeCell ref="B1:N1"/>
    <mergeCell ref="I3:N3"/>
  </mergeCells>
  <printOptions/>
  <pageMargins left="0.2" right="0.18" top="0.36" bottom="0.984251968503937" header="0.2" footer="0.5118110236220472"/>
  <pageSetup horizontalDpi="600" verticalDpi="600" orientation="portrait" paperSize="9" scale="7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1"/>
  <sheetViews>
    <sheetView zoomScale="75" zoomScaleNormal="75" workbookViewId="0" topLeftCell="A26">
      <selection activeCell="R53" sqref="R53"/>
    </sheetView>
  </sheetViews>
  <sheetFormatPr defaultColWidth="9.140625" defaultRowHeight="12.75"/>
  <cols>
    <col min="1" max="1" width="8.8515625" style="93" customWidth="1"/>
    <col min="2" max="2" width="35.00390625" style="93" customWidth="1"/>
    <col min="3" max="3" width="0.9921875" style="93" hidden="1" customWidth="1"/>
    <col min="4" max="5" width="12.8515625" style="93" bestFit="1" customWidth="1"/>
    <col min="6" max="6" width="10.00390625" style="93" bestFit="1" customWidth="1"/>
    <col min="7" max="7" width="14.00390625" style="93" bestFit="1" customWidth="1"/>
    <col min="8" max="8" width="12.140625" style="95" customWidth="1"/>
    <col min="9" max="9" width="12.421875" style="93" customWidth="1"/>
    <col min="10" max="10" width="9.140625" style="93" hidden="1" customWidth="1"/>
    <col min="11" max="11" width="12.00390625" style="95" customWidth="1"/>
    <col min="12" max="12" width="14.7109375" style="95" hidden="1" customWidth="1"/>
    <col min="13" max="13" width="9.421875" style="95" hidden="1" customWidth="1"/>
    <col min="14" max="14" width="12.140625" style="96" customWidth="1"/>
    <col min="15" max="15" width="5.421875" style="93" customWidth="1"/>
    <col min="16" max="16" width="12.57421875" style="227" hidden="1" customWidth="1"/>
    <col min="17" max="17" width="12.140625" style="93" hidden="1" customWidth="1"/>
    <col min="18" max="16384" width="8.8515625" style="93" customWidth="1"/>
  </cols>
  <sheetData>
    <row r="1" spans="2:14" ht="19.5">
      <c r="B1" s="363" t="s">
        <v>63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</row>
    <row r="2" spans="2:11" ht="17.25" thickBot="1">
      <c r="B2" s="97"/>
      <c r="C2" s="98"/>
      <c r="D2" s="99"/>
      <c r="E2" s="99"/>
      <c r="F2" s="99"/>
      <c r="G2" s="99"/>
      <c r="H2" s="100"/>
      <c r="I2" s="99"/>
      <c r="J2" s="99"/>
      <c r="K2" s="100"/>
    </row>
    <row r="3" spans="2:14" ht="15.75" thickBot="1">
      <c r="B3" s="101"/>
      <c r="C3" s="102"/>
      <c r="D3" s="101"/>
      <c r="E3" s="103"/>
      <c r="F3" s="104"/>
      <c r="G3" s="105"/>
      <c r="H3" s="106"/>
      <c r="I3" s="360" t="s">
        <v>66</v>
      </c>
      <c r="J3" s="361"/>
      <c r="K3" s="361"/>
      <c r="L3" s="361"/>
      <c r="M3" s="361"/>
      <c r="N3" s="362"/>
    </row>
    <row r="4" spans="2:14" ht="16.5">
      <c r="B4" s="107"/>
      <c r="C4" s="108"/>
      <c r="D4" s="109" t="s">
        <v>73</v>
      </c>
      <c r="E4" s="110" t="s">
        <v>73</v>
      </c>
      <c r="F4" s="111" t="s">
        <v>16</v>
      </c>
      <c r="G4" s="112" t="s">
        <v>48</v>
      </c>
      <c r="H4" s="113">
        <v>2007</v>
      </c>
      <c r="I4" s="114">
        <v>2008</v>
      </c>
      <c r="J4" s="115" t="s">
        <v>46</v>
      </c>
      <c r="K4" s="116" t="s">
        <v>43</v>
      </c>
      <c r="L4" s="117" t="s">
        <v>45</v>
      </c>
      <c r="M4" s="115" t="s">
        <v>43</v>
      </c>
      <c r="N4" s="113">
        <v>2008</v>
      </c>
    </row>
    <row r="5" spans="2:14" ht="16.5">
      <c r="B5" s="107"/>
      <c r="C5" s="108"/>
      <c r="D5" s="109">
        <v>2007</v>
      </c>
      <c r="E5" s="118">
        <v>2008</v>
      </c>
      <c r="F5" s="115"/>
      <c r="G5" s="112">
        <v>2007</v>
      </c>
      <c r="H5" s="113" t="s">
        <v>57</v>
      </c>
      <c r="I5" s="114"/>
      <c r="J5" s="115" t="s">
        <v>47</v>
      </c>
      <c r="K5" s="116" t="s">
        <v>16</v>
      </c>
      <c r="L5" s="117">
        <v>2006</v>
      </c>
      <c r="M5" s="115" t="s">
        <v>16</v>
      </c>
      <c r="N5" s="113" t="s">
        <v>61</v>
      </c>
    </row>
    <row r="6" spans="2:14" ht="16.5">
      <c r="B6" s="107"/>
      <c r="C6" s="108">
        <v>2002</v>
      </c>
      <c r="D6" s="109" t="s">
        <v>64</v>
      </c>
      <c r="E6" s="118" t="s">
        <v>64</v>
      </c>
      <c r="F6" s="108" t="s">
        <v>59</v>
      </c>
      <c r="G6" s="119" t="s">
        <v>64</v>
      </c>
      <c r="H6" s="113" t="s">
        <v>55</v>
      </c>
      <c r="I6" s="118" t="s">
        <v>64</v>
      </c>
      <c r="J6" s="115">
        <v>2003</v>
      </c>
      <c r="K6" s="116" t="s">
        <v>60</v>
      </c>
      <c r="L6" s="117"/>
      <c r="M6" s="115" t="s">
        <v>52</v>
      </c>
      <c r="N6" s="113" t="s">
        <v>55</v>
      </c>
    </row>
    <row r="7" spans="2:14" ht="17.25" thickBot="1">
      <c r="B7" s="120"/>
      <c r="C7" s="121"/>
      <c r="D7" s="122"/>
      <c r="E7" s="123"/>
      <c r="F7" s="124"/>
      <c r="G7" s="125"/>
      <c r="H7" s="126"/>
      <c r="I7" s="127"/>
      <c r="J7" s="128"/>
      <c r="K7" s="129"/>
      <c r="L7" s="130"/>
      <c r="M7" s="131"/>
      <c r="N7" s="132"/>
    </row>
    <row r="8" spans="2:14" ht="16.5">
      <c r="B8" s="133"/>
      <c r="C8" s="98"/>
      <c r="D8" s="134"/>
      <c r="E8" s="135"/>
      <c r="F8" s="136"/>
      <c r="G8" s="137"/>
      <c r="H8" s="138"/>
      <c r="I8" s="139"/>
      <c r="J8" s="140"/>
      <c r="K8" s="141"/>
      <c r="L8" s="142"/>
      <c r="M8" s="142"/>
      <c r="N8" s="143"/>
    </row>
    <row r="9" spans="2:17" ht="16.5">
      <c r="B9" s="144" t="s">
        <v>1</v>
      </c>
      <c r="C9" s="145">
        <f>C11+C28</f>
        <v>915767</v>
      </c>
      <c r="D9" s="32">
        <f>D11+D28</f>
        <v>3417876.0717202546</v>
      </c>
      <c r="E9" s="147">
        <f>E11+E28</f>
        <v>3639714</v>
      </c>
      <c r="F9" s="148">
        <f>(+E9/D9)*100-100</f>
        <v>6.490519949369954</v>
      </c>
      <c r="G9" s="149">
        <f>G11+G28</f>
        <v>7303699.78081719</v>
      </c>
      <c r="H9" s="150">
        <f>+G9/1000/$G$57*100</f>
        <v>47.150515880494545</v>
      </c>
      <c r="I9" s="147">
        <f>I11+I28</f>
        <v>7547962.553029789</v>
      </c>
      <c r="J9" s="151" t="e">
        <f>+I9/1000/$K$57*100</f>
        <v>#DIV/0!</v>
      </c>
      <c r="K9" s="152">
        <f>(+I9/G9-1)*100</f>
        <v>3.344370381353068</v>
      </c>
      <c r="L9" s="153" t="e">
        <f>+L11+L28</f>
        <v>#DIV/0!</v>
      </c>
      <c r="M9" s="154" t="e">
        <f>(L9/G9-1)*100</f>
        <v>#DIV/0!</v>
      </c>
      <c r="N9" s="155">
        <f>+I9/1000/$I$57*100</f>
        <v>46.05291879345276</v>
      </c>
      <c r="P9" s="64">
        <f>P11+P28</f>
        <v>2000394</v>
      </c>
      <c r="Q9" s="64">
        <f>Q11+Q28</f>
        <v>3417876.0717202546</v>
      </c>
    </row>
    <row r="10" spans="2:17" ht="16.5">
      <c r="B10" s="144"/>
      <c r="C10" s="145"/>
      <c r="D10" s="32"/>
      <c r="E10" s="147"/>
      <c r="F10" s="148"/>
      <c r="G10" s="149"/>
      <c r="H10" s="150"/>
      <c r="I10" s="147"/>
      <c r="J10" s="156"/>
      <c r="K10" s="152"/>
      <c r="L10" s="157"/>
      <c r="M10" s="158"/>
      <c r="N10" s="155"/>
      <c r="P10" s="64"/>
      <c r="Q10" s="64"/>
    </row>
    <row r="11" spans="2:17" ht="16.5">
      <c r="B11" s="144" t="s">
        <v>2</v>
      </c>
      <c r="C11" s="145">
        <f>C12+C27</f>
        <v>915200</v>
      </c>
      <c r="D11" s="32">
        <f>D12+D27</f>
        <v>3408663.2927483544</v>
      </c>
      <c r="E11" s="147">
        <f>E12+E27</f>
        <v>3629768</v>
      </c>
      <c r="F11" s="148">
        <f aca="true" t="shared" si="0" ref="F11:F16">(+E11/D11)*100-100</f>
        <v>6.486551714334098</v>
      </c>
      <c r="G11" s="149">
        <f>G12+G27</f>
        <v>7303699.78081719</v>
      </c>
      <c r="H11" s="150">
        <f aca="true" t="shared" si="1" ref="H11:H50">+G11/1000/$G$57*100</f>
        <v>47.150515880494545</v>
      </c>
      <c r="I11" s="147">
        <f>I12+I27</f>
        <v>7547962.553029789</v>
      </c>
      <c r="J11" s="151" t="e">
        <f>+I11/1000/$K$57*100</f>
        <v>#DIV/0!</v>
      </c>
      <c r="K11" s="152">
        <f aca="true" t="shared" si="2" ref="K11:K16">(+I11/G11-1)*100</f>
        <v>3.344370381353068</v>
      </c>
      <c r="L11" s="153" t="e">
        <f>+L12+L27</f>
        <v>#DIV/0!</v>
      </c>
      <c r="M11" s="154" t="e">
        <f aca="true" t="shared" si="3" ref="M11:M16">(L11/G11-1)*100</f>
        <v>#DIV/0!</v>
      </c>
      <c r="N11" s="155">
        <f aca="true" t="shared" si="4" ref="N11:N23">+I11/1000/$I$57*100</f>
        <v>46.05291879345276</v>
      </c>
      <c r="P11" s="64">
        <f>P12+P27</f>
        <v>1995002</v>
      </c>
      <c r="Q11" s="64">
        <f>Q12+Q27</f>
        <v>3408663.2927483544</v>
      </c>
    </row>
    <row r="12" spans="2:17" ht="16.5">
      <c r="B12" s="144" t="s">
        <v>3</v>
      </c>
      <c r="C12" s="145">
        <f>C13+C26</f>
        <v>914845</v>
      </c>
      <c r="D12" s="32">
        <f>D13+D26</f>
        <v>3408663.2927483544</v>
      </c>
      <c r="E12" s="147">
        <f>E13+E26</f>
        <v>3629768</v>
      </c>
      <c r="F12" s="148">
        <f t="shared" si="0"/>
        <v>6.486551714334098</v>
      </c>
      <c r="G12" s="149">
        <f>G13+G26</f>
        <v>7292199.78081719</v>
      </c>
      <c r="H12" s="150">
        <f t="shared" si="1"/>
        <v>47.07627529710558</v>
      </c>
      <c r="I12" s="147">
        <f>I13+I26</f>
        <v>7547962.553029789</v>
      </c>
      <c r="J12" s="151" t="e">
        <f aca="true" t="shared" si="5" ref="J12:J23">+I12/1000/$K$57*100</f>
        <v>#DIV/0!</v>
      </c>
      <c r="K12" s="152">
        <f t="shared" si="2"/>
        <v>3.507347301227348</v>
      </c>
      <c r="L12" s="153">
        <f>+L13+L26</f>
        <v>2824200</v>
      </c>
      <c r="M12" s="154">
        <f t="shared" si="3"/>
        <v>-61.27094587521695</v>
      </c>
      <c r="N12" s="155">
        <f t="shared" si="4"/>
        <v>46.05291879345276</v>
      </c>
      <c r="P12" s="64">
        <f>P13+P26</f>
        <v>1995002</v>
      </c>
      <c r="Q12" s="64">
        <f>Q13+Q26</f>
        <v>3408663.2927483544</v>
      </c>
    </row>
    <row r="13" spans="2:17" ht="16.5">
      <c r="B13" s="144" t="s">
        <v>4</v>
      </c>
      <c r="C13" s="145">
        <f>C14+C18+C25</f>
        <v>788907</v>
      </c>
      <c r="D13" s="32">
        <f>D14+D18+D25</f>
        <v>3041660.8289450756</v>
      </c>
      <c r="E13" s="147">
        <f>E14+E18+E25</f>
        <v>3258535</v>
      </c>
      <c r="F13" s="148">
        <f t="shared" si="0"/>
        <v>7.130123417808605</v>
      </c>
      <c r="G13" s="149">
        <f>G14+G18+G25</f>
        <v>6537699.78081719</v>
      </c>
      <c r="H13" s="150">
        <f t="shared" si="1"/>
        <v>42.20544745649947</v>
      </c>
      <c r="I13" s="147">
        <f>I14+I18+I25</f>
        <v>6838958.903029788</v>
      </c>
      <c r="J13" s="151" t="e">
        <f t="shared" si="5"/>
        <v>#DIV/0!</v>
      </c>
      <c r="K13" s="152">
        <f t="shared" si="2"/>
        <v>4.608029311724393</v>
      </c>
      <c r="L13" s="153">
        <f>+L14+L18+L25</f>
        <v>2442200</v>
      </c>
      <c r="M13" s="154">
        <f t="shared" si="3"/>
        <v>-62.64435379602682</v>
      </c>
      <c r="N13" s="155">
        <f t="shared" si="4"/>
        <v>41.72702458182805</v>
      </c>
      <c r="P13" s="64">
        <f>P14+P18+P25</f>
        <v>1780205</v>
      </c>
      <c r="Q13" s="64">
        <f>Q14+Q18+Q25</f>
        <v>3041660.8289450756</v>
      </c>
    </row>
    <row r="14" spans="2:17" ht="16.5">
      <c r="B14" s="144" t="s">
        <v>5</v>
      </c>
      <c r="C14" s="145">
        <f>C15+C16</f>
        <v>267215</v>
      </c>
      <c r="D14" s="32">
        <f>D15+D16</f>
        <v>1074652.214176608</v>
      </c>
      <c r="E14" s="147">
        <f>E15+E16</f>
        <v>1067121</v>
      </c>
      <c r="F14" s="148">
        <f t="shared" si="0"/>
        <v>-0.7008047884941533</v>
      </c>
      <c r="G14" s="149">
        <f>G15+G16</f>
        <v>2176000</v>
      </c>
      <c r="H14" s="150">
        <f t="shared" si="1"/>
        <v>14.047609517771903</v>
      </c>
      <c r="I14" s="147">
        <f>I15+I16</f>
        <v>2085297.644</v>
      </c>
      <c r="J14" s="151" t="e">
        <f t="shared" si="5"/>
        <v>#DIV/0!</v>
      </c>
      <c r="K14" s="152">
        <f t="shared" si="2"/>
        <v>-4.168306801470589</v>
      </c>
      <c r="L14" s="153">
        <f>+L15+L16</f>
        <v>798200</v>
      </c>
      <c r="M14" s="154">
        <f t="shared" si="3"/>
        <v>-63.318014705882355</v>
      </c>
      <c r="N14" s="155">
        <f t="shared" si="4"/>
        <v>12.723174285060788</v>
      </c>
      <c r="P14" s="64">
        <f>P15+P16</f>
        <v>628966</v>
      </c>
      <c r="Q14" s="64">
        <f>Q15+Q16</f>
        <v>1074652.214176608</v>
      </c>
    </row>
    <row r="15" spans="2:17" ht="16.5">
      <c r="B15" s="144" t="s">
        <v>6</v>
      </c>
      <c r="C15" s="145">
        <v>191033</v>
      </c>
      <c r="D15" s="32">
        <f>+Q15</f>
        <v>726736.5370749427</v>
      </c>
      <c r="E15" s="147">
        <f>678134+20430</f>
        <v>698564</v>
      </c>
      <c r="F15" s="148">
        <f t="shared" si="0"/>
        <v>-3.876581902478023</v>
      </c>
      <c r="G15" s="149">
        <v>1680040</v>
      </c>
      <c r="H15" s="150">
        <f t="shared" si="1"/>
        <v>10.845839105807679</v>
      </c>
      <c r="I15" s="229">
        <f>+G15*(0.9221)</f>
        <v>1549164.884</v>
      </c>
      <c r="J15" s="151" t="e">
        <f t="shared" si="5"/>
        <v>#DIV/0!</v>
      </c>
      <c r="K15" s="152">
        <f t="shared" si="2"/>
        <v>-7.789999999999997</v>
      </c>
      <c r="L15" s="153">
        <f>-5000+502900</f>
        <v>497900</v>
      </c>
      <c r="M15" s="154">
        <f t="shared" si="3"/>
        <v>-70.36380086188424</v>
      </c>
      <c r="N15" s="155">
        <f t="shared" si="4"/>
        <v>9.45202948468299</v>
      </c>
      <c r="P15" s="64">
        <f>421485+3855</f>
        <v>425340</v>
      </c>
      <c r="Q15" s="93">
        <f>+P15/0.585274</f>
        <v>726736.5370749427</v>
      </c>
    </row>
    <row r="16" spans="2:17" ht="16.5">
      <c r="B16" s="144" t="s">
        <v>7</v>
      </c>
      <c r="C16" s="145">
        <v>76182</v>
      </c>
      <c r="D16" s="32">
        <f>+Q16</f>
        <v>347915.67710166523</v>
      </c>
      <c r="E16" s="147">
        <f>54502+69405+244650</f>
        <v>368557</v>
      </c>
      <c r="F16" s="148">
        <f t="shared" si="0"/>
        <v>5.932852198638656</v>
      </c>
      <c r="G16" s="149">
        <f>2176000-1680040</f>
        <v>495960</v>
      </c>
      <c r="H16" s="150">
        <f t="shared" si="1"/>
        <v>3.2017704119642247</v>
      </c>
      <c r="I16" s="229">
        <f>+G16*1.081</f>
        <v>536132.76</v>
      </c>
      <c r="J16" s="151" t="e">
        <f t="shared" si="5"/>
        <v>#DIV/0!</v>
      </c>
      <c r="K16" s="152">
        <f t="shared" si="2"/>
        <v>8.099999999999996</v>
      </c>
      <c r="L16" s="153">
        <f>308300-8000</f>
        <v>300300</v>
      </c>
      <c r="M16" s="154">
        <f t="shared" si="3"/>
        <v>-39.450762158238575</v>
      </c>
      <c r="N16" s="155">
        <f t="shared" si="4"/>
        <v>3.2711448003777948</v>
      </c>
      <c r="P16" s="64">
        <f>36981+48640+118005</f>
        <v>203626</v>
      </c>
      <c r="Q16" s="93">
        <f>+P16/0.585274</f>
        <v>347915.67710166523</v>
      </c>
    </row>
    <row r="17" spans="2:16" ht="16.5">
      <c r="B17" s="133"/>
      <c r="C17" s="160"/>
      <c r="D17" s="33"/>
      <c r="E17" s="162"/>
      <c r="F17" s="163"/>
      <c r="G17" s="149"/>
      <c r="H17" s="150"/>
      <c r="I17" s="147"/>
      <c r="J17" s="164"/>
      <c r="K17" s="165"/>
      <c r="L17" s="158"/>
      <c r="M17" s="158"/>
      <c r="N17" s="155">
        <f t="shared" si="4"/>
        <v>0</v>
      </c>
      <c r="P17" s="65"/>
    </row>
    <row r="18" spans="2:17" ht="16.5">
      <c r="B18" s="144" t="s">
        <v>9</v>
      </c>
      <c r="C18" s="145">
        <f>C19+C20</f>
        <v>371674</v>
      </c>
      <c r="D18" s="32">
        <f>D19+D20</f>
        <v>1520332.3571523766</v>
      </c>
      <c r="E18" s="147">
        <f>E19+E20</f>
        <v>1673814</v>
      </c>
      <c r="F18" s="148">
        <f aca="true" t="shared" si="6" ref="F18:F23">(+E18/D18)*100-100</f>
        <v>10.095269111755172</v>
      </c>
      <c r="G18" s="149">
        <f>G19+G20</f>
        <v>3113899.78081719</v>
      </c>
      <c r="H18" s="150">
        <f t="shared" si="1"/>
        <v>20.10241185588024</v>
      </c>
      <c r="I18" s="147">
        <f>I19+I20</f>
        <v>3415021.419029788</v>
      </c>
      <c r="J18" s="151" t="e">
        <f t="shared" si="5"/>
        <v>#DIV/0!</v>
      </c>
      <c r="K18" s="152">
        <f aca="true" t="shared" si="7" ref="K18:K23">(+I18/G18-1)*100</f>
        <v>9.670241799932743</v>
      </c>
      <c r="L18" s="153">
        <f>+L19+L20</f>
        <v>1207200</v>
      </c>
      <c r="M18" s="154">
        <f aca="true" t="shared" si="8" ref="M18:M23">(L18/G18-1)*100</f>
        <v>-61.23189296467368</v>
      </c>
      <c r="N18" s="155">
        <f t="shared" si="4"/>
        <v>20.836312181404637</v>
      </c>
      <c r="P18" s="64">
        <f>P19+P20</f>
        <v>889811</v>
      </c>
      <c r="Q18" s="64">
        <f>Q19+Q20</f>
        <v>1520332.3571523766</v>
      </c>
    </row>
    <row r="19" spans="2:17" ht="16.5">
      <c r="B19" s="144" t="s">
        <v>10</v>
      </c>
      <c r="C19" s="145">
        <v>36073</v>
      </c>
      <c r="D19" s="32">
        <f>+Q19</f>
        <v>31891.045903286325</v>
      </c>
      <c r="E19" s="147">
        <f>5162+32993</f>
        <v>38155</v>
      </c>
      <c r="F19" s="148">
        <f t="shared" si="6"/>
        <v>19.641733029734795</v>
      </c>
      <c r="G19" s="149">
        <v>50220</v>
      </c>
      <c r="H19" s="150">
        <f t="shared" si="1"/>
        <v>0.3242053998081365</v>
      </c>
      <c r="I19" s="229">
        <f>+G19*1.3</f>
        <v>65286</v>
      </c>
      <c r="J19" s="151" t="e">
        <f t="shared" si="5"/>
        <v>#DIV/0!</v>
      </c>
      <c r="K19" s="152">
        <f t="shared" si="7"/>
        <v>30.000000000000004</v>
      </c>
      <c r="L19" s="153">
        <v>26700</v>
      </c>
      <c r="M19" s="154">
        <f t="shared" si="8"/>
        <v>-46.83393070489845</v>
      </c>
      <c r="N19" s="155">
        <f t="shared" si="4"/>
        <v>0.3983340981391712</v>
      </c>
      <c r="P19" s="84">
        <f>2036+16629</f>
        <v>18665</v>
      </c>
      <c r="Q19" s="84">
        <f>(2036+16629)/0.585274</f>
        <v>31891.045903286325</v>
      </c>
    </row>
    <row r="20" spans="2:17" ht="16.5">
      <c r="B20" s="144" t="s">
        <v>11</v>
      </c>
      <c r="C20" s="145">
        <v>335601</v>
      </c>
      <c r="D20" s="32">
        <f>SUM(D21:D23)</f>
        <v>1488441.3112490901</v>
      </c>
      <c r="E20" s="147">
        <f>SUM(E21:E23)</f>
        <v>1635659</v>
      </c>
      <c r="F20" s="148">
        <f t="shared" si="6"/>
        <v>9.890728484777526</v>
      </c>
      <c r="G20" s="149">
        <f>SUM(G21:G23)</f>
        <v>3063679.78081719</v>
      </c>
      <c r="H20" s="150">
        <f t="shared" si="1"/>
        <v>19.778206456072105</v>
      </c>
      <c r="I20" s="147">
        <f>SUM(I21:I23)</f>
        <v>3349735.419029788</v>
      </c>
      <c r="J20" s="151" t="e">
        <f t="shared" si="5"/>
        <v>#DIV/0!</v>
      </c>
      <c r="K20" s="152">
        <f t="shared" si="7"/>
        <v>9.33699533494643</v>
      </c>
      <c r="L20" s="153">
        <f>+L21+L22+L23</f>
        <v>1180500</v>
      </c>
      <c r="M20" s="154">
        <f t="shared" si="8"/>
        <v>-61.467905118820234</v>
      </c>
      <c r="N20" s="155">
        <f t="shared" si="4"/>
        <v>20.437978083265467</v>
      </c>
      <c r="P20" s="64">
        <f>SUM(P21:P23)</f>
        <v>871146</v>
      </c>
      <c r="Q20" s="64">
        <f>SUM(Q21:Q23)</f>
        <v>1488441.3112490901</v>
      </c>
    </row>
    <row r="21" spans="2:17" ht="16.5">
      <c r="B21" s="144" t="s">
        <v>12</v>
      </c>
      <c r="C21" s="145">
        <v>88941</v>
      </c>
      <c r="D21" s="32">
        <f>+Q21</f>
        <v>360183.43545074615</v>
      </c>
      <c r="E21" s="147">
        <f>334915+38092</f>
        <v>373007</v>
      </c>
      <c r="F21" s="148">
        <f t="shared" si="6"/>
        <v>3.5602871445784388</v>
      </c>
      <c r="G21" s="149">
        <v>620261.6210527036</v>
      </c>
      <c r="H21" s="150">
        <f t="shared" si="1"/>
        <v>4.004224747889977</v>
      </c>
      <c r="I21" s="229">
        <f>+G21*1.05</f>
        <v>651274.7021053388</v>
      </c>
      <c r="J21" s="151" t="e">
        <f t="shared" si="5"/>
        <v>#DIV/0!</v>
      </c>
      <c r="K21" s="152">
        <f t="shared" si="7"/>
        <v>5.000000000000004</v>
      </c>
      <c r="L21" s="153">
        <v>347400</v>
      </c>
      <c r="M21" s="154">
        <f t="shared" si="8"/>
        <v>-43.99137586323732</v>
      </c>
      <c r="N21" s="155">
        <f t="shared" si="4"/>
        <v>3.9736684910086</v>
      </c>
      <c r="P21" s="64">
        <f>211928-1122</f>
        <v>210806</v>
      </c>
      <c r="Q21" s="64">
        <f>(211928-1122)/0.585274</f>
        <v>360183.43545074615</v>
      </c>
    </row>
    <row r="22" spans="2:17" ht="16.5">
      <c r="B22" s="144" t="s">
        <v>13</v>
      </c>
      <c r="C22" s="145">
        <v>178000</v>
      </c>
      <c r="D22" s="34">
        <f>+Q22</f>
        <v>862934.2837713618</v>
      </c>
      <c r="E22" s="147">
        <v>991736</v>
      </c>
      <c r="F22" s="148">
        <f t="shared" si="6"/>
        <v>14.926016806948965</v>
      </c>
      <c r="G22" s="149">
        <v>1599531.1597644866</v>
      </c>
      <c r="H22" s="150">
        <f t="shared" si="1"/>
        <v>10.326097952150889</v>
      </c>
      <c r="I22" s="229">
        <f>+G22*1.17</f>
        <v>1871451.4569244492</v>
      </c>
      <c r="J22" s="151" t="e">
        <f t="shared" si="5"/>
        <v>#DIV/0!</v>
      </c>
      <c r="K22" s="152">
        <f t="shared" si="7"/>
        <v>16.999999999999993</v>
      </c>
      <c r="L22" s="153">
        <f>685300-5000</f>
        <v>680300</v>
      </c>
      <c r="M22" s="154">
        <f t="shared" si="8"/>
        <v>-57.46878728513381</v>
      </c>
      <c r="N22" s="155">
        <f t="shared" si="4"/>
        <v>11.418419390148552</v>
      </c>
      <c r="P22" s="66">
        <v>505053</v>
      </c>
      <c r="Q22" s="66">
        <f>505053/0.585274</f>
        <v>862934.2837713618</v>
      </c>
    </row>
    <row r="23" spans="2:17" ht="16.5">
      <c r="B23" s="144" t="s">
        <v>8</v>
      </c>
      <c r="C23" s="145">
        <f>335601-C22</f>
        <v>157601</v>
      </c>
      <c r="D23" s="34">
        <f>+Q23</f>
        <v>265323.5920269822</v>
      </c>
      <c r="E23" s="147">
        <v>270916</v>
      </c>
      <c r="F23" s="148">
        <f t="shared" si="6"/>
        <v>2.1077688306168483</v>
      </c>
      <c r="G23" s="149">
        <f>3113900-2270013</f>
        <v>843887</v>
      </c>
      <c r="H23" s="150">
        <f t="shared" si="1"/>
        <v>5.44788375603124</v>
      </c>
      <c r="I23" s="229">
        <f>G23*0.98</f>
        <v>827009.26</v>
      </c>
      <c r="J23" s="151" t="e">
        <f t="shared" si="5"/>
        <v>#DIV/0!</v>
      </c>
      <c r="K23" s="152">
        <f t="shared" si="7"/>
        <v>-2.0000000000000018</v>
      </c>
      <c r="L23" s="153">
        <v>152800</v>
      </c>
      <c r="M23" s="154">
        <f t="shared" si="8"/>
        <v>-81.89331036027335</v>
      </c>
      <c r="N23" s="155">
        <f t="shared" si="4"/>
        <v>5.045890202108313</v>
      </c>
      <c r="P23" s="66">
        <v>155287</v>
      </c>
      <c r="Q23" s="66">
        <f>155287/0.585274</f>
        <v>265323.5920269822</v>
      </c>
    </row>
    <row r="24" spans="2:17" ht="16.5">
      <c r="B24" s="166"/>
      <c r="C24" s="167"/>
      <c r="D24" s="35"/>
      <c r="E24" s="169"/>
      <c r="F24" s="167"/>
      <c r="G24" s="149"/>
      <c r="H24" s="150"/>
      <c r="I24" s="170"/>
      <c r="J24" s="171"/>
      <c r="K24" s="172"/>
      <c r="L24" s="158"/>
      <c r="M24" s="158"/>
      <c r="N24" s="155"/>
      <c r="P24" s="67"/>
      <c r="Q24" s="67"/>
    </row>
    <row r="25" spans="1:17" ht="16.5">
      <c r="A25" s="173" t="s">
        <v>51</v>
      </c>
      <c r="B25" s="144" t="s">
        <v>23</v>
      </c>
      <c r="C25" s="145">
        <v>150018</v>
      </c>
      <c r="D25" s="32">
        <f>+Q25</f>
        <v>446676.25761609094</v>
      </c>
      <c r="E25" s="147">
        <v>517600</v>
      </c>
      <c r="F25" s="148">
        <f>(+E25/D25)*100-100</f>
        <v>15.87810884832534</v>
      </c>
      <c r="G25" s="149">
        <v>1247800</v>
      </c>
      <c r="H25" s="150">
        <f t="shared" si="1"/>
        <v>8.055426082847326</v>
      </c>
      <c r="I25" s="229">
        <f>+G25*1.0728</f>
        <v>1338639.84</v>
      </c>
      <c r="J25" s="151" t="e">
        <f>+I25/1000/$K$57*100</f>
        <v>#DIV/0!</v>
      </c>
      <c r="K25" s="152">
        <f>(+I25/G25-1)*100</f>
        <v>7.279999999999998</v>
      </c>
      <c r="L25" s="153">
        <v>436800</v>
      </c>
      <c r="M25" s="154">
        <f>(L25/G25-1)*100</f>
        <v>-64.99439012662286</v>
      </c>
      <c r="N25" s="155">
        <f>+I25/1000/$I$57*100</f>
        <v>8.167538115362625</v>
      </c>
      <c r="P25" s="64">
        <v>261428</v>
      </c>
      <c r="Q25" s="64">
        <f>261428/0.585274</f>
        <v>446676.25761609094</v>
      </c>
    </row>
    <row r="26" spans="1:17" ht="16.5">
      <c r="A26" s="93" t="s">
        <v>49</v>
      </c>
      <c r="B26" s="144" t="s">
        <v>14</v>
      </c>
      <c r="C26" s="145">
        <v>125938</v>
      </c>
      <c r="D26" s="32">
        <f>+Q26</f>
        <v>367002.4638032785</v>
      </c>
      <c r="E26" s="147">
        <f>108028+861+262344</f>
        <v>371233</v>
      </c>
      <c r="F26" s="148">
        <f>(+E26/D26)*100-100</f>
        <v>1.1527269198359278</v>
      </c>
      <c r="G26" s="149">
        <v>754500</v>
      </c>
      <c r="H26" s="150">
        <f t="shared" si="1"/>
        <v>4.870827840606113</v>
      </c>
      <c r="I26" s="229">
        <f>+G26*0.9397</f>
        <v>709003.65</v>
      </c>
      <c r="J26" s="151" t="e">
        <f>+I26/1000/$K$57*100</f>
        <v>#DIV/0!</v>
      </c>
      <c r="K26" s="152">
        <f>(+I26/G26-1)*100</f>
        <v>-6.030000000000002</v>
      </c>
      <c r="L26" s="153">
        <v>382000</v>
      </c>
      <c r="M26" s="154">
        <f>(L26/G26-1)*100</f>
        <v>-49.37044400265076</v>
      </c>
      <c r="N26" s="155">
        <f>+I26/1000/$I$57*100</f>
        <v>4.325894211624706</v>
      </c>
      <c r="P26" s="64">
        <f>67020+142469+5308</f>
        <v>214797</v>
      </c>
      <c r="Q26" s="64">
        <f>(67020+142469+5308)/0.585274</f>
        <v>367002.4638032785</v>
      </c>
    </row>
    <row r="27" spans="2:17" ht="16.5">
      <c r="B27" s="144" t="s">
        <v>15</v>
      </c>
      <c r="C27" s="145">
        <v>355</v>
      </c>
      <c r="D27" s="32">
        <v>0</v>
      </c>
      <c r="E27" s="147">
        <v>0</v>
      </c>
      <c r="F27" s="148">
        <v>0</v>
      </c>
      <c r="G27" s="149">
        <v>11500</v>
      </c>
      <c r="H27" s="150">
        <f t="shared" si="1"/>
        <v>0.07424058338895997</v>
      </c>
      <c r="I27" s="159">
        <v>0</v>
      </c>
      <c r="J27" s="151" t="e">
        <f>+I27/1000/$K$57*100</f>
        <v>#DIV/0!</v>
      </c>
      <c r="K27" s="152">
        <f>(+I27/G27-1)*100</f>
        <v>-100</v>
      </c>
      <c r="L27" s="153" t="e">
        <f>I27/(1+K27/100)*(1+F27/100)</f>
        <v>#DIV/0!</v>
      </c>
      <c r="M27" s="154"/>
      <c r="N27" s="155">
        <f>+I27/1000/$I$57*100</f>
        <v>0</v>
      </c>
      <c r="P27" s="64">
        <v>0</v>
      </c>
      <c r="Q27" s="64">
        <v>0</v>
      </c>
    </row>
    <row r="28" spans="2:17" ht="16.5">
      <c r="B28" s="144" t="s">
        <v>39</v>
      </c>
      <c r="C28" s="145">
        <v>567</v>
      </c>
      <c r="D28" s="32">
        <f>+Q28</f>
        <v>9212.778971900341</v>
      </c>
      <c r="E28" s="147">
        <v>9946</v>
      </c>
      <c r="F28" s="148">
        <f>(+E28/D28)*100-100</f>
        <v>7.958738946587545</v>
      </c>
      <c r="G28" s="149">
        <v>0</v>
      </c>
      <c r="H28" s="150">
        <f t="shared" si="1"/>
        <v>0</v>
      </c>
      <c r="I28" s="147">
        <v>0</v>
      </c>
      <c r="J28" s="151" t="e">
        <f>+I28/1000/$K$57*100</f>
        <v>#DIV/0!</v>
      </c>
      <c r="K28" s="152"/>
      <c r="L28" s="153">
        <v>95000</v>
      </c>
      <c r="M28" s="154" t="e">
        <f>(L28/G28-1)*100</f>
        <v>#DIV/0!</v>
      </c>
      <c r="N28" s="155">
        <f>+I28/1000/$I$57*100</f>
        <v>0</v>
      </c>
      <c r="P28" s="64">
        <v>5392</v>
      </c>
      <c r="Q28" s="64">
        <f>5392/0.585274</f>
        <v>9212.778971900341</v>
      </c>
    </row>
    <row r="29" spans="2:17" ht="16.5">
      <c r="B29" s="166"/>
      <c r="C29" s="167"/>
      <c r="D29" s="35"/>
      <c r="E29" s="169"/>
      <c r="F29" s="167"/>
      <c r="G29" s="149">
        <v>0</v>
      </c>
      <c r="H29" s="150"/>
      <c r="I29" s="169"/>
      <c r="J29" s="171"/>
      <c r="K29" s="172"/>
      <c r="L29" s="158"/>
      <c r="M29" s="158"/>
      <c r="N29" s="155"/>
      <c r="P29" s="67"/>
      <c r="Q29" s="67"/>
    </row>
    <row r="30" spans="2:18" ht="16.5">
      <c r="B30" s="144" t="s">
        <v>36</v>
      </c>
      <c r="C30" s="156">
        <f>+C32+C46</f>
        <v>1016432</v>
      </c>
      <c r="D30" s="34">
        <f>+D32+D46</f>
        <v>3159609.003646156</v>
      </c>
      <c r="E30" s="147">
        <f>+E32+E46</f>
        <v>3522981</v>
      </c>
      <c r="F30" s="174">
        <f>(+E30/D30)*100-100</f>
        <v>11.500536804855187</v>
      </c>
      <c r="G30" s="149">
        <f>+G32+G46</f>
        <v>6798200.374990176</v>
      </c>
      <c r="H30" s="150">
        <f t="shared" si="1"/>
        <v>43.88716189863627</v>
      </c>
      <c r="I30" s="147">
        <f>+I32+I46</f>
        <v>7446487.178696405</v>
      </c>
      <c r="J30" s="151" t="e">
        <f>+I30/1000/$K$57*100</f>
        <v>#DIV/0!</v>
      </c>
      <c r="K30" s="152">
        <f>(+I30/G30-1)*100</f>
        <v>9.536153216242393</v>
      </c>
      <c r="L30" s="153">
        <f>+L32</f>
        <v>3115750</v>
      </c>
      <c r="M30" s="154">
        <f>(L30/G30-1)*100</f>
        <v>-54.16801759091277</v>
      </c>
      <c r="N30" s="155">
        <f>+I30/1000/$I$57*100</f>
        <v>45.43377990121824</v>
      </c>
      <c r="P30" s="66">
        <f>+P32+P46</f>
        <v>1849239</v>
      </c>
      <c r="Q30" s="66">
        <f>+Q32+Q46</f>
        <v>3159612.4208490388</v>
      </c>
      <c r="R30" s="227"/>
    </row>
    <row r="31" spans="2:17" ht="16.5">
      <c r="B31" s="144"/>
      <c r="C31" s="164"/>
      <c r="D31" s="33"/>
      <c r="E31" s="162"/>
      <c r="F31" s="174"/>
      <c r="G31" s="149"/>
      <c r="H31" s="150"/>
      <c r="I31" s="162"/>
      <c r="J31" s="175"/>
      <c r="K31" s="152"/>
      <c r="L31" s="158"/>
      <c r="M31" s="154"/>
      <c r="N31" s="155"/>
      <c r="P31" s="65"/>
      <c r="Q31" s="65"/>
    </row>
    <row r="32" spans="2:17" ht="16.5">
      <c r="B32" s="144" t="s">
        <v>37</v>
      </c>
      <c r="C32" s="145">
        <f>+C33+C43</f>
        <v>1008790</v>
      </c>
      <c r="D32" s="34">
        <f>+D33+D43</f>
        <v>3159609.003646156</v>
      </c>
      <c r="E32" s="147">
        <f>+E33+E43</f>
        <v>3522981</v>
      </c>
      <c r="F32" s="174">
        <f aca="true" t="shared" si="9" ref="F32:F44">(+E32/D32)*100-100</f>
        <v>11.500536804855187</v>
      </c>
      <c r="G32" s="149">
        <f>+G33+G43</f>
        <v>6798200.374990176</v>
      </c>
      <c r="H32" s="150">
        <f t="shared" si="1"/>
        <v>43.88716189863627</v>
      </c>
      <c r="I32" s="147">
        <f>+I33+I43</f>
        <v>7446487.178696405</v>
      </c>
      <c r="J32" s="151" t="e">
        <f aca="true" t="shared" si="10" ref="J32:J45">+I32/1000/$K$57*100</f>
        <v>#DIV/0!</v>
      </c>
      <c r="K32" s="152">
        <f aca="true" t="shared" si="11" ref="K32:K45">(+I32/G32-1)*100</f>
        <v>9.536153216242393</v>
      </c>
      <c r="L32" s="153">
        <f>+L33+L43</f>
        <v>3115750</v>
      </c>
      <c r="M32" s="154">
        <f aca="true" t="shared" si="12" ref="M32:M44">(L32/G32-1)*100</f>
        <v>-54.16801759091277</v>
      </c>
      <c r="N32" s="155">
        <f aca="true" t="shared" si="13" ref="N32:N46">+I32/1000/$I$57*100</f>
        <v>45.43377990121824</v>
      </c>
      <c r="P32" s="66">
        <f>+P33+P43</f>
        <v>1849239</v>
      </c>
      <c r="Q32" s="66">
        <f>+Q33+Q43</f>
        <v>3159612.4208490388</v>
      </c>
    </row>
    <row r="33" spans="2:17" ht="16.5">
      <c r="B33" s="144" t="s">
        <v>34</v>
      </c>
      <c r="C33" s="145">
        <f>SUM(C34:C42)</f>
        <v>937943</v>
      </c>
      <c r="D33" s="34">
        <f>SUM(D34:D42)</f>
        <v>3031760.3476935592</v>
      </c>
      <c r="E33" s="147">
        <f>SUM(E34:E42)</f>
        <v>3378542</v>
      </c>
      <c r="F33" s="174">
        <f t="shared" si="9"/>
        <v>11.43829368209326</v>
      </c>
      <c r="G33" s="149">
        <f>SUM(G34:G42)</f>
        <v>6205300.374990176</v>
      </c>
      <c r="H33" s="150">
        <f t="shared" si="1"/>
        <v>40.059575647217635</v>
      </c>
      <c r="I33" s="147">
        <f>SUM(I34:I42)</f>
        <v>6778950.178696405</v>
      </c>
      <c r="J33" s="151" t="e">
        <f t="shared" si="10"/>
        <v>#DIV/0!</v>
      </c>
      <c r="K33" s="152">
        <f t="shared" si="11"/>
        <v>9.244513062063287</v>
      </c>
      <c r="L33" s="153">
        <f>SUM(L34:L42)</f>
        <v>2894990</v>
      </c>
      <c r="M33" s="154">
        <f t="shared" si="12"/>
        <v>-53.346496945289566</v>
      </c>
      <c r="N33" s="155">
        <f t="shared" si="13"/>
        <v>41.36088909967536</v>
      </c>
      <c r="P33" s="66">
        <f>SUM(P34:P42)</f>
        <v>1774412</v>
      </c>
      <c r="Q33" s="66">
        <f>SUM(Q34:Q42)</f>
        <v>3031762.9007951836</v>
      </c>
    </row>
    <row r="34" spans="2:17" ht="16.5">
      <c r="B34" s="133" t="s">
        <v>17</v>
      </c>
      <c r="C34" s="160">
        <v>269354</v>
      </c>
      <c r="D34" s="33">
        <f>+Q34</f>
        <v>853118.3684906557</v>
      </c>
      <c r="E34" s="162">
        <v>931460</v>
      </c>
      <c r="F34" s="176">
        <f t="shared" si="9"/>
        <v>9.18297324296826</v>
      </c>
      <c r="G34" s="149">
        <v>2256200</v>
      </c>
      <c r="H34" s="150">
        <f t="shared" si="1"/>
        <v>14.565356890623606</v>
      </c>
      <c r="I34" s="229">
        <f>+G34*1.09</f>
        <v>2459258</v>
      </c>
      <c r="J34" s="151" t="e">
        <f t="shared" si="10"/>
        <v>#DIV/0!</v>
      </c>
      <c r="K34" s="152">
        <f t="shared" si="11"/>
        <v>9.000000000000007</v>
      </c>
      <c r="L34" s="177">
        <v>820700</v>
      </c>
      <c r="M34" s="154">
        <f t="shared" si="12"/>
        <v>-63.624678663239074</v>
      </c>
      <c r="N34" s="155">
        <f t="shared" si="13"/>
        <v>15.004845104946568</v>
      </c>
      <c r="P34" s="65">
        <v>499308</v>
      </c>
      <c r="Q34" s="65">
        <f>499308/0.585274</f>
        <v>853118.3684906557</v>
      </c>
    </row>
    <row r="35" spans="1:17" ht="16.5">
      <c r="A35" s="93" t="s">
        <v>54</v>
      </c>
      <c r="B35" s="133" t="s">
        <v>18</v>
      </c>
      <c r="C35" s="160">
        <v>76954</v>
      </c>
      <c r="D35" s="33">
        <f>(137767+38)/0.585274-171-2061-3982-3859-361-407-1-9804-95-240-498-3717-1164</f>
        <v>209093.82162884393</v>
      </c>
      <c r="E35" s="162">
        <f>238313+40-13-1217-3967-2756-4-181-56-14-190-321-1877-56</f>
        <v>227701</v>
      </c>
      <c r="F35" s="176">
        <f t="shared" si="9"/>
        <v>8.898961349601748</v>
      </c>
      <c r="G35" s="149">
        <v>788500</v>
      </c>
      <c r="H35" s="150">
        <f t="shared" si="1"/>
        <v>5.090321739321299</v>
      </c>
      <c r="I35" s="229">
        <f>+G35*1.0798</f>
        <v>851422.3</v>
      </c>
      <c r="J35" s="151" t="e">
        <f t="shared" si="10"/>
        <v>#DIV/0!</v>
      </c>
      <c r="K35" s="152">
        <f t="shared" si="11"/>
        <v>7.980000000000009</v>
      </c>
      <c r="L35" s="177">
        <v>207290</v>
      </c>
      <c r="M35" s="154">
        <f t="shared" si="12"/>
        <v>-73.71084337349399</v>
      </c>
      <c r="N35" s="155">
        <f t="shared" si="13"/>
        <v>5.194843213033098</v>
      </c>
      <c r="P35" s="65">
        <f>137767+38-100-1206-2330-2259-211-238-1-5738-55-140-291-2176-681</f>
        <v>122379</v>
      </c>
      <c r="Q35" s="65">
        <f>(137767+38-100-1206-2330-2259-211-238-1-5738-55-140-291-2176-681)/0.585274</f>
        <v>209096.93579417505</v>
      </c>
    </row>
    <row r="36" spans="2:17" ht="16.5">
      <c r="B36" s="133" t="s">
        <v>19</v>
      </c>
      <c r="C36" s="160">
        <v>15523</v>
      </c>
      <c r="D36" s="33">
        <f aca="true" t="shared" si="14" ref="D36:D41">+Q36</f>
        <v>31450.226731411272</v>
      </c>
      <c r="E36" s="162">
        <v>25443</v>
      </c>
      <c r="F36" s="176">
        <f t="shared" si="9"/>
        <v>-19.10074220676917</v>
      </c>
      <c r="G36" s="149">
        <v>65500</v>
      </c>
      <c r="H36" s="150">
        <f t="shared" si="1"/>
        <v>0.42284854017190243</v>
      </c>
      <c r="I36" s="229">
        <v>100000</v>
      </c>
      <c r="J36" s="151" t="e">
        <f t="shared" si="10"/>
        <v>#DIV/0!</v>
      </c>
      <c r="K36" s="152">
        <f t="shared" si="11"/>
        <v>52.67175572519085</v>
      </c>
      <c r="L36" s="177">
        <v>50000</v>
      </c>
      <c r="M36" s="154">
        <f t="shared" si="12"/>
        <v>-23.664122137404576</v>
      </c>
      <c r="N36" s="155">
        <f t="shared" si="13"/>
        <v>0.6101370862653114</v>
      </c>
      <c r="P36" s="65">
        <v>18407</v>
      </c>
      <c r="Q36" s="65">
        <f>18407/0.585274</f>
        <v>31450.226731411272</v>
      </c>
    </row>
    <row r="37" spans="2:17" ht="16.5">
      <c r="B37" s="133" t="s">
        <v>20</v>
      </c>
      <c r="C37" s="160">
        <v>155726</v>
      </c>
      <c r="D37" s="33">
        <f t="shared" si="14"/>
        <v>433356.0007791223</v>
      </c>
      <c r="E37" s="162">
        <v>452978</v>
      </c>
      <c r="F37" s="176">
        <f t="shared" si="9"/>
        <v>4.527916813335835</v>
      </c>
      <c r="G37" s="149">
        <v>502800</v>
      </c>
      <c r="H37" s="150">
        <f t="shared" si="1"/>
        <v>3.2459274198233983</v>
      </c>
      <c r="I37" s="229">
        <v>502800</v>
      </c>
      <c r="J37" s="151" t="e">
        <f t="shared" si="10"/>
        <v>#DIV/0!</v>
      </c>
      <c r="K37" s="152">
        <f t="shared" si="11"/>
        <v>0</v>
      </c>
      <c r="L37" s="177">
        <v>382000</v>
      </c>
      <c r="M37" s="154">
        <f t="shared" si="12"/>
        <v>-24.025457438345267</v>
      </c>
      <c r="N37" s="155">
        <f t="shared" si="13"/>
        <v>3.0677692697419854</v>
      </c>
      <c r="P37" s="65">
        <v>253632</v>
      </c>
      <c r="Q37" s="65">
        <f>253632/0.585274</f>
        <v>433356.0007791223</v>
      </c>
    </row>
    <row r="38" spans="2:17" ht="16.5">
      <c r="B38" s="133" t="s">
        <v>21</v>
      </c>
      <c r="C38" s="179">
        <v>146560</v>
      </c>
      <c r="D38" s="33">
        <f t="shared" si="14"/>
        <v>506860.03478712536</v>
      </c>
      <c r="E38" s="181">
        <f>476496+75531+17053</f>
        <v>569080</v>
      </c>
      <c r="F38" s="176">
        <f t="shared" si="9"/>
        <v>12.275571349594799</v>
      </c>
      <c r="G38" s="149">
        <v>1872400</v>
      </c>
      <c r="H38" s="150">
        <f t="shared" si="1"/>
        <v>12.087658116303361</v>
      </c>
      <c r="I38" s="229">
        <f>+G38*1.095</f>
        <v>2050278</v>
      </c>
      <c r="J38" s="151" t="e">
        <f t="shared" si="10"/>
        <v>#DIV/0!</v>
      </c>
      <c r="K38" s="152">
        <f t="shared" si="11"/>
        <v>9.499999999999996</v>
      </c>
      <c r="L38" s="177">
        <v>492460</v>
      </c>
      <c r="M38" s="154">
        <f t="shared" si="12"/>
        <v>-73.69899594103823</v>
      </c>
      <c r="N38" s="155">
        <f t="shared" si="13"/>
        <v>12.509506449538698</v>
      </c>
      <c r="P38" s="59">
        <f>282544+1953+12155</f>
        <v>296652</v>
      </c>
      <c r="Q38" s="59">
        <f>(282544+1953+12155)/0.585274</f>
        <v>506860.03478712536</v>
      </c>
    </row>
    <row r="39" spans="1:17" ht="16.5">
      <c r="A39" s="93" t="s">
        <v>41</v>
      </c>
      <c r="B39" s="133" t="s">
        <v>24</v>
      </c>
      <c r="C39" s="179">
        <v>56713</v>
      </c>
      <c r="D39" s="33">
        <f t="shared" si="14"/>
        <v>178468.54635606572</v>
      </c>
      <c r="E39" s="181">
        <f>944+26441+146020</f>
        <v>173405</v>
      </c>
      <c r="F39" s="176">
        <f t="shared" si="9"/>
        <v>-2.837220596823471</v>
      </c>
      <c r="G39" s="149">
        <f>197220/0.585274</f>
        <v>336970.3762682094</v>
      </c>
      <c r="H39" s="150">
        <f t="shared" si="1"/>
        <v>2.1753806364303667</v>
      </c>
      <c r="I39" s="229">
        <v>338640</v>
      </c>
      <c r="J39" s="151" t="e">
        <f t="shared" si="10"/>
        <v>#DIV/0!</v>
      </c>
      <c r="K39" s="152">
        <f t="shared" si="11"/>
        <v>0.495480864009723</v>
      </c>
      <c r="L39" s="177">
        <v>160000</v>
      </c>
      <c r="M39" s="154">
        <f t="shared" si="12"/>
        <v>-52.51808133049387</v>
      </c>
      <c r="N39" s="155">
        <f t="shared" si="13"/>
        <v>2.0661682289288503</v>
      </c>
      <c r="P39" s="59">
        <f>102+26916+77435</f>
        <v>104453</v>
      </c>
      <c r="Q39" s="59">
        <f>(102+26916+77435)/0.585274</f>
        <v>178468.54635606572</v>
      </c>
    </row>
    <row r="40" spans="1:18" ht="16.5">
      <c r="A40" s="183" t="s">
        <v>42</v>
      </c>
      <c r="B40" s="133" t="s">
        <v>25</v>
      </c>
      <c r="C40" s="179">
        <v>12501</v>
      </c>
      <c r="D40" s="33">
        <f t="shared" si="14"/>
        <v>35229.653119735376</v>
      </c>
      <c r="E40" s="181">
        <v>29073</v>
      </c>
      <c r="F40" s="176">
        <f t="shared" si="9"/>
        <v>-17.475769911246914</v>
      </c>
      <c r="G40" s="149">
        <v>52301.99872196613</v>
      </c>
      <c r="H40" s="150">
        <f t="shared" si="1"/>
        <v>0.337646165002383</v>
      </c>
      <c r="I40" s="229">
        <f>+G40*1.02</f>
        <v>53348.03869640545</v>
      </c>
      <c r="J40" s="151" t="e">
        <f t="shared" si="10"/>
        <v>#DIV/0!</v>
      </c>
      <c r="K40" s="152">
        <f t="shared" si="11"/>
        <v>2.0000000000000018</v>
      </c>
      <c r="L40" s="177">
        <v>19720</v>
      </c>
      <c r="M40" s="154">
        <f t="shared" si="12"/>
        <v>-62.2958959851034</v>
      </c>
      <c r="N40" s="155">
        <f t="shared" si="13"/>
        <v>0.325496168881939</v>
      </c>
      <c r="P40" s="59">
        <v>20619</v>
      </c>
      <c r="Q40" s="59">
        <f>20619/0.585274</f>
        <v>35229.653119735376</v>
      </c>
      <c r="R40" s="227"/>
    </row>
    <row r="41" spans="1:17" ht="16.5">
      <c r="A41" s="93" t="s">
        <v>44</v>
      </c>
      <c r="B41" s="133" t="s">
        <v>26</v>
      </c>
      <c r="C41" s="184">
        <v>140242</v>
      </c>
      <c r="D41" s="33">
        <f t="shared" si="14"/>
        <v>738144.8688990113</v>
      </c>
      <c r="E41" s="181">
        <f>329830+488654+322561-E39-E40</f>
        <v>938567</v>
      </c>
      <c r="F41" s="176">
        <f t="shared" si="9"/>
        <v>27.15214039216052</v>
      </c>
      <c r="G41" s="149">
        <f>6798200-6467572</f>
        <v>330628</v>
      </c>
      <c r="H41" s="150">
        <f t="shared" si="1"/>
        <v>2.134436139541309</v>
      </c>
      <c r="I41" s="230">
        <f>+G41*1.28</f>
        <v>423203.84</v>
      </c>
      <c r="J41" s="151" t="e">
        <f t="shared" si="10"/>
        <v>#DIV/0!</v>
      </c>
      <c r="K41" s="152">
        <f t="shared" si="11"/>
        <v>28.000000000000004</v>
      </c>
      <c r="L41" s="177">
        <f>857820-L39</f>
        <v>697820</v>
      </c>
      <c r="M41" s="154">
        <f t="shared" si="12"/>
        <v>111.05895447451518</v>
      </c>
      <c r="N41" s="155">
        <f t="shared" si="13"/>
        <v>2.5821235783389103</v>
      </c>
      <c r="P41" s="59">
        <v>432017</v>
      </c>
      <c r="Q41" s="59">
        <f>(156403+254784+145902)/0.585274-Q39-Q40</f>
        <v>738144.8688990113</v>
      </c>
    </row>
    <row r="42" spans="1:18" ht="16.5">
      <c r="A42" s="183" t="s">
        <v>53</v>
      </c>
      <c r="B42" s="166" t="s">
        <v>27</v>
      </c>
      <c r="C42" s="184">
        <v>64370</v>
      </c>
      <c r="D42" s="33">
        <f>35724+(6037)/0.585274</f>
        <v>46038.82690158798</v>
      </c>
      <c r="E42" s="181">
        <f>8985+21850</f>
        <v>30835</v>
      </c>
      <c r="F42" s="176">
        <f t="shared" si="9"/>
        <v>-33.023923337767684</v>
      </c>
      <c r="G42" s="149">
        <v>0</v>
      </c>
      <c r="H42" s="150">
        <f t="shared" si="1"/>
        <v>0</v>
      </c>
      <c r="I42" s="229">
        <v>0</v>
      </c>
      <c r="J42" s="151" t="e">
        <f t="shared" si="10"/>
        <v>#DIV/0!</v>
      </c>
      <c r="K42" s="152" t="e">
        <f t="shared" si="11"/>
        <v>#DIV/0!</v>
      </c>
      <c r="L42" s="177">
        <v>65000</v>
      </c>
      <c r="M42" s="154" t="e">
        <f t="shared" si="12"/>
        <v>#DIV/0!</v>
      </c>
      <c r="N42" s="155">
        <f t="shared" si="13"/>
        <v>0</v>
      </c>
      <c r="P42" s="59">
        <f>20908+6037</f>
        <v>26945</v>
      </c>
      <c r="Q42" s="59">
        <f>(20908+6037)/0.585274</f>
        <v>46038.26583788107</v>
      </c>
      <c r="R42" s="227"/>
    </row>
    <row r="43" spans="2:17" ht="16.5">
      <c r="B43" s="144" t="s">
        <v>35</v>
      </c>
      <c r="C43" s="185">
        <f>+C44+C45</f>
        <v>70847</v>
      </c>
      <c r="D43" s="37">
        <f>+D44+D45</f>
        <v>127848.65595259657</v>
      </c>
      <c r="E43" s="187">
        <f>+E44+E45</f>
        <v>144439</v>
      </c>
      <c r="F43" s="174">
        <f t="shared" si="9"/>
        <v>12.976549439483165</v>
      </c>
      <c r="G43" s="149">
        <f>+G44+G45</f>
        <v>592900</v>
      </c>
      <c r="H43" s="150">
        <f t="shared" si="1"/>
        <v>3.8275862514186403</v>
      </c>
      <c r="I43" s="187">
        <f>+I44+I45</f>
        <v>667537</v>
      </c>
      <c r="J43" s="151" t="e">
        <f t="shared" si="10"/>
        <v>#DIV/0!</v>
      </c>
      <c r="K43" s="152">
        <f t="shared" si="11"/>
        <v>12.588463484567392</v>
      </c>
      <c r="L43" s="153">
        <f>+L44+L45</f>
        <v>220760</v>
      </c>
      <c r="M43" s="154">
        <f t="shared" si="12"/>
        <v>-62.76606510372744</v>
      </c>
      <c r="N43" s="155">
        <f t="shared" si="13"/>
        <v>4.072890801542871</v>
      </c>
      <c r="P43" s="60">
        <f>+P44+P45</f>
        <v>74827</v>
      </c>
      <c r="Q43" s="60">
        <f>+Q44+Q45</f>
        <v>127849.52005385513</v>
      </c>
    </row>
    <row r="44" spans="1:17" ht="16.5">
      <c r="A44" s="173" t="s">
        <v>72</v>
      </c>
      <c r="B44" s="133" t="s">
        <v>28</v>
      </c>
      <c r="C44" s="184">
        <v>53202</v>
      </c>
      <c r="D44" s="36">
        <f>80307/0.585274-113-1253-16-24-106-1315-408-3979-2045-105</f>
        <v>127848.65595259657</v>
      </c>
      <c r="E44" s="181">
        <f>155637-24-221-59-33-1110-754-908-5083-2936-70</f>
        <v>144439</v>
      </c>
      <c r="F44" s="176">
        <f t="shared" si="9"/>
        <v>12.976549439483165</v>
      </c>
      <c r="G44" s="149">
        <v>476600</v>
      </c>
      <c r="H44" s="150">
        <f t="shared" si="1"/>
        <v>3.076788003754637</v>
      </c>
      <c r="I44" s="231">
        <f>+G44*1.12</f>
        <v>533792</v>
      </c>
      <c r="J44" s="151" t="e">
        <f t="shared" si="10"/>
        <v>#DIV/0!</v>
      </c>
      <c r="K44" s="152">
        <f t="shared" si="11"/>
        <v>12.00000000000001</v>
      </c>
      <c r="L44" s="177">
        <v>220760</v>
      </c>
      <c r="M44" s="154">
        <f t="shared" si="12"/>
        <v>-53.6802349979018</v>
      </c>
      <c r="N44" s="155">
        <f t="shared" si="13"/>
        <v>3.256862955517331</v>
      </c>
      <c r="P44" s="59">
        <f>80307-66-733-9-14-62-770-239-2329-1197-61</f>
        <v>74827</v>
      </c>
      <c r="Q44" s="59">
        <f>(80307-66-733-9-14-62-770-239-2329-1197-61)/0.585274</f>
        <v>127849.52005385513</v>
      </c>
    </row>
    <row r="45" spans="2:17" ht="16.5">
      <c r="B45" s="133" t="s">
        <v>29</v>
      </c>
      <c r="C45" s="184">
        <f>11749+5896</f>
        <v>17645</v>
      </c>
      <c r="D45" s="36">
        <v>0</v>
      </c>
      <c r="E45" s="181">
        <v>0</v>
      </c>
      <c r="F45" s="176">
        <v>0</v>
      </c>
      <c r="G45" s="149">
        <v>116300</v>
      </c>
      <c r="H45" s="150">
        <f t="shared" si="1"/>
        <v>0.7507982476640039</v>
      </c>
      <c r="I45" s="231">
        <f>G45*1.15</f>
        <v>133745</v>
      </c>
      <c r="J45" s="151" t="e">
        <f t="shared" si="10"/>
        <v>#DIV/0!</v>
      </c>
      <c r="K45" s="152">
        <f t="shared" si="11"/>
        <v>14.999999999999991</v>
      </c>
      <c r="L45" s="177">
        <v>0</v>
      </c>
      <c r="M45" s="189">
        <v>0</v>
      </c>
      <c r="N45" s="155">
        <f t="shared" si="13"/>
        <v>0.8160278460255407</v>
      </c>
      <c r="P45" s="59">
        <v>0</v>
      </c>
      <c r="Q45" s="59">
        <v>0</v>
      </c>
    </row>
    <row r="46" spans="2:17" ht="16.5">
      <c r="B46" s="144" t="s">
        <v>30</v>
      </c>
      <c r="C46" s="185">
        <v>7642</v>
      </c>
      <c r="D46" s="37">
        <v>0</v>
      </c>
      <c r="E46" s="187">
        <v>0</v>
      </c>
      <c r="F46" s="174"/>
      <c r="G46" s="149">
        <v>0</v>
      </c>
      <c r="H46" s="150">
        <f t="shared" si="1"/>
        <v>0</v>
      </c>
      <c r="I46" s="187">
        <v>0</v>
      </c>
      <c r="J46" s="175"/>
      <c r="K46" s="188"/>
      <c r="L46" s="158"/>
      <c r="M46" s="158"/>
      <c r="N46" s="155">
        <f t="shared" si="13"/>
        <v>0</v>
      </c>
      <c r="P46" s="60">
        <v>0</v>
      </c>
      <c r="Q46" s="60">
        <v>0</v>
      </c>
    </row>
    <row r="47" spans="2:17" ht="16.5">
      <c r="B47" s="166"/>
      <c r="C47" s="184"/>
      <c r="D47" s="168"/>
      <c r="E47" s="169"/>
      <c r="F47" s="167"/>
      <c r="G47" s="149"/>
      <c r="H47" s="150"/>
      <c r="I47" s="169"/>
      <c r="J47" s="190"/>
      <c r="K47" s="172"/>
      <c r="L47" s="158"/>
      <c r="M47" s="158"/>
      <c r="N47" s="155"/>
      <c r="P47" s="67"/>
      <c r="Q47" s="67"/>
    </row>
    <row r="48" spans="2:17" ht="16.5">
      <c r="B48" s="144" t="s">
        <v>31</v>
      </c>
      <c r="C48" s="185">
        <f>+C12+C28-C33</f>
        <v>-22531</v>
      </c>
      <c r="D48" s="186">
        <f>+D12+D28-D33</f>
        <v>386115.72402669536</v>
      </c>
      <c r="E48" s="187">
        <f>+E12+E28-E33</f>
        <v>261172</v>
      </c>
      <c r="F48" s="174"/>
      <c r="G48" s="149">
        <f>+G12+G28-G33</f>
        <v>1086899.4058270138</v>
      </c>
      <c r="H48" s="150">
        <f t="shared" si="1"/>
        <v>7.016699649887954</v>
      </c>
      <c r="I48" s="187">
        <f>+I12+I28-I33</f>
        <v>769012.3743333835</v>
      </c>
      <c r="J48" s="151" t="e">
        <f>+I48/1000/$K$57*100</f>
        <v>#DIV/0!</v>
      </c>
      <c r="K48" s="152">
        <f>(+I48/G48-1)*100</f>
        <v>-29.247143736522</v>
      </c>
      <c r="L48" s="153">
        <f>+L12+L28-L33</f>
        <v>24210</v>
      </c>
      <c r="M48" s="158"/>
      <c r="N48" s="155">
        <f>+I48/1000/$I$57*100</f>
        <v>4.692029693777395</v>
      </c>
      <c r="P48" s="60">
        <f>+P12+P28-P33</f>
        <v>225982</v>
      </c>
      <c r="Q48" s="60">
        <f>+Q12+Q28-Q33</f>
        <v>386113.170925071</v>
      </c>
    </row>
    <row r="49" spans="2:17" ht="16.5">
      <c r="B49" s="144"/>
      <c r="C49" s="191"/>
      <c r="D49" s="192"/>
      <c r="E49" s="193"/>
      <c r="F49" s="167"/>
      <c r="G49" s="149"/>
      <c r="H49" s="150"/>
      <c r="I49" s="193"/>
      <c r="J49" s="194"/>
      <c r="K49" s="172"/>
      <c r="L49" s="195"/>
      <c r="M49" s="158"/>
      <c r="N49" s="155"/>
      <c r="P49" s="68"/>
      <c r="Q49" s="68"/>
    </row>
    <row r="50" spans="2:17" ht="16.5">
      <c r="B50" s="144" t="s">
        <v>32</v>
      </c>
      <c r="C50" s="185">
        <f>+C9-C30</f>
        <v>-100665</v>
      </c>
      <c r="D50" s="186">
        <f>+D9-D30</f>
        <v>258267.0680740988</v>
      </c>
      <c r="E50" s="187">
        <f>+E9-E30</f>
        <v>116733</v>
      </c>
      <c r="F50" s="167"/>
      <c r="G50" s="149">
        <f>+G9-G30</f>
        <v>505499.4058270138</v>
      </c>
      <c r="H50" s="150">
        <f t="shared" si="1"/>
        <v>3.2633539818582724</v>
      </c>
      <c r="I50" s="187">
        <f>+I9-I30</f>
        <v>101475.37433338352</v>
      </c>
      <c r="J50" s="151" t="e">
        <f>+I50/1000/$K$57*100</f>
        <v>#DIV/0!</v>
      </c>
      <c r="K50" s="172"/>
      <c r="L50" s="153" t="e">
        <f>+L9-L30</f>
        <v>#DIV/0!</v>
      </c>
      <c r="M50" s="158"/>
      <c r="N50" s="155">
        <f>+I50/1000/$I$57*100</f>
        <v>0.6191388922345238</v>
      </c>
      <c r="P50" s="60">
        <f>+P9-P30</f>
        <v>151155</v>
      </c>
      <c r="Q50" s="60">
        <f>+Q9-Q30</f>
        <v>258263.65087121585</v>
      </c>
    </row>
    <row r="51" spans="2:17" ht="16.5">
      <c r="B51" s="144" t="s">
        <v>22</v>
      </c>
      <c r="C51" s="196">
        <f>+C50/1000/C57*100</f>
        <v>-1.6339068333062816</v>
      </c>
      <c r="D51" s="197">
        <f>+D50/1000/D57*100</f>
        <v>1.6672933085053698</v>
      </c>
      <c r="E51" s="198">
        <f>+E50/1000/E57*100</f>
        <v>0.712231324910086</v>
      </c>
      <c r="F51" s="196"/>
      <c r="G51" s="199">
        <f>+G50/1000/G57*100</f>
        <v>3.2633539818582724</v>
      </c>
      <c r="H51" s="200"/>
      <c r="I51" s="198">
        <f>+I50/1000/I57*100</f>
        <v>0.6191388922345238</v>
      </c>
      <c r="J51" s="151"/>
      <c r="K51" s="172"/>
      <c r="L51" s="154" t="e">
        <f>+L50/1000/M57*100</f>
        <v>#DIV/0!</v>
      </c>
      <c r="M51" s="158"/>
      <c r="N51" s="143"/>
      <c r="P51" s="69" t="e">
        <f>+P50/1000/P57*100</f>
        <v>#DIV/0!</v>
      </c>
      <c r="Q51" s="69" t="e">
        <f>+Q50/1000/Q57*100</f>
        <v>#DIV/0!</v>
      </c>
    </row>
    <row r="52" spans="2:17" ht="16.5">
      <c r="B52" s="144"/>
      <c r="C52" s="191"/>
      <c r="D52" s="201"/>
      <c r="E52" s="202"/>
      <c r="F52" s="167"/>
      <c r="G52" s="149"/>
      <c r="H52" s="203"/>
      <c r="I52" s="202"/>
      <c r="J52" s="190"/>
      <c r="K52" s="172"/>
      <c r="L52" s="157"/>
      <c r="M52" s="158"/>
      <c r="N52" s="143"/>
      <c r="P52" s="70"/>
      <c r="Q52" s="70"/>
    </row>
    <row r="53" spans="2:17" ht="16.5">
      <c r="B53" s="144" t="s">
        <v>33</v>
      </c>
      <c r="C53" s="204">
        <f>+C50+C37</f>
        <v>55061</v>
      </c>
      <c r="D53" s="192">
        <f>+D50+D37</f>
        <v>691623.0688532211</v>
      </c>
      <c r="E53" s="193">
        <f>+E50+E37</f>
        <v>569711</v>
      </c>
      <c r="F53" s="167"/>
      <c r="G53" s="149">
        <v>1051058.1368726443</v>
      </c>
      <c r="H53" s="205"/>
      <c r="I53" s="193">
        <f>+I50+I37</f>
        <v>604275.3743333835</v>
      </c>
      <c r="J53" s="206"/>
      <c r="K53" s="172"/>
      <c r="L53" s="195" t="e">
        <f>+L50+L37</f>
        <v>#DIV/0!</v>
      </c>
      <c r="M53" s="158"/>
      <c r="N53" s="143"/>
      <c r="P53" s="68">
        <f>+P50+P37</f>
        <v>404787</v>
      </c>
      <c r="Q53" s="68">
        <f>+Q50+Q37</f>
        <v>691619.6516503382</v>
      </c>
    </row>
    <row r="54" spans="2:14" ht="17.25" thickBot="1">
      <c r="B54" s="207"/>
      <c r="C54" s="171"/>
      <c r="D54" s="208"/>
      <c r="E54" s="209"/>
      <c r="F54" s="171"/>
      <c r="G54" s="210"/>
      <c r="H54" s="211"/>
      <c r="I54" s="212"/>
      <c r="J54" s="213"/>
      <c r="K54" s="214"/>
      <c r="L54" s="215"/>
      <c r="M54" s="215"/>
      <c r="N54" s="216"/>
    </row>
    <row r="55" spans="2:11" ht="17.25" thickTop="1">
      <c r="B55" s="217"/>
      <c r="C55" s="218"/>
      <c r="D55" s="217"/>
      <c r="E55" s="217"/>
      <c r="F55" s="217"/>
      <c r="G55" s="217"/>
      <c r="H55" s="219"/>
      <c r="I55" s="217"/>
      <c r="J55" s="217"/>
      <c r="K55" s="219"/>
    </row>
    <row r="56" spans="2:4" ht="16.5">
      <c r="B56" s="220" t="s">
        <v>40</v>
      </c>
      <c r="D56" s="221"/>
    </row>
    <row r="57" spans="2:14" ht="16.5">
      <c r="B57" s="220" t="s">
        <v>62</v>
      </c>
      <c r="C57" s="222">
        <v>6161</v>
      </c>
      <c r="D57" s="223">
        <v>15490.2</v>
      </c>
      <c r="E57" s="223">
        <f>9592.5/0.585274</f>
        <v>16389.75932640097</v>
      </c>
      <c r="F57" s="223"/>
      <c r="G57" s="223">
        <v>15490.18</v>
      </c>
      <c r="H57" s="224"/>
      <c r="I57" s="223">
        <f>9592.5/0.585274</f>
        <v>16389.75932640097</v>
      </c>
      <c r="J57" s="225">
        <v>8260.3</v>
      </c>
      <c r="K57" s="226"/>
      <c r="L57" s="226"/>
      <c r="M57" s="226"/>
      <c r="N57" s="224"/>
    </row>
    <row r="58" ht="16.5">
      <c r="B58" s="99"/>
    </row>
    <row r="59" ht="16.5">
      <c r="B59" s="220"/>
    </row>
    <row r="61" ht="18" customHeight="1">
      <c r="B61" s="222"/>
    </row>
    <row r="62" ht="18" customHeight="1"/>
    <row r="63" ht="18" customHeight="1"/>
    <row r="64" ht="18" customHeight="1"/>
    <row r="65" ht="18" customHeight="1"/>
  </sheetData>
  <mergeCells count="2">
    <mergeCell ref="B1:N1"/>
    <mergeCell ref="I3:N3"/>
  </mergeCells>
  <printOptions/>
  <pageMargins left="0.24" right="0.2" top="1" bottom="1" header="0.5" footer="0.5"/>
  <pageSetup horizontalDpi="600" verticalDpi="600" orientation="portrait" paperSize="9" scale="7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1"/>
  <sheetViews>
    <sheetView zoomScale="75" zoomScaleNormal="75" workbookViewId="0" topLeftCell="A1">
      <selection activeCell="D20" sqref="D20"/>
    </sheetView>
  </sheetViews>
  <sheetFormatPr defaultColWidth="9.140625" defaultRowHeight="12.75"/>
  <cols>
    <col min="1" max="1" width="8.8515625" style="93" customWidth="1"/>
    <col min="2" max="2" width="35.00390625" style="93" customWidth="1"/>
    <col min="3" max="3" width="0.9921875" style="93" hidden="1" customWidth="1"/>
    <col min="4" max="5" width="12.8515625" style="93" bestFit="1" customWidth="1"/>
    <col min="6" max="6" width="11.7109375" style="93" customWidth="1"/>
    <col min="7" max="7" width="14.00390625" style="93" bestFit="1" customWidth="1"/>
    <col min="8" max="8" width="12.140625" style="95" customWidth="1"/>
    <col min="9" max="9" width="12.421875" style="93" customWidth="1"/>
    <col min="10" max="10" width="9.140625" style="93" hidden="1" customWidth="1"/>
    <col min="11" max="11" width="12.00390625" style="95" customWidth="1"/>
    <col min="12" max="12" width="14.7109375" style="95" hidden="1" customWidth="1"/>
    <col min="13" max="13" width="9.421875" style="95" hidden="1" customWidth="1"/>
    <col min="14" max="14" width="12.140625" style="96" customWidth="1"/>
    <col min="15" max="15" width="5.421875" style="93" customWidth="1"/>
    <col min="16" max="16" width="12.57421875" style="227" hidden="1" customWidth="1"/>
    <col min="17" max="18" width="12.140625" style="93" hidden="1" customWidth="1"/>
    <col min="19" max="19" width="10.421875" style="93" hidden="1" customWidth="1"/>
    <col min="20" max="16384" width="8.8515625" style="93" customWidth="1"/>
  </cols>
  <sheetData>
    <row r="1" spans="2:14" ht="19.5">
      <c r="B1" s="363" t="s">
        <v>63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</row>
    <row r="2" spans="2:11" ht="17.25" thickBot="1">
      <c r="B2" s="97"/>
      <c r="C2" s="98"/>
      <c r="D2" s="99"/>
      <c r="E2" s="99"/>
      <c r="F2" s="99"/>
      <c r="G2" s="99"/>
      <c r="H2" s="100"/>
      <c r="I2" s="99"/>
      <c r="J2" s="99"/>
      <c r="K2" s="100"/>
    </row>
    <row r="3" spans="2:14" ht="15.75" thickBot="1">
      <c r="B3" s="101"/>
      <c r="C3" s="102"/>
      <c r="D3" s="101"/>
      <c r="E3" s="103"/>
      <c r="F3" s="104"/>
      <c r="G3" s="105"/>
      <c r="H3" s="106"/>
      <c r="I3" s="360" t="s">
        <v>66</v>
      </c>
      <c r="J3" s="361"/>
      <c r="K3" s="361"/>
      <c r="L3" s="361"/>
      <c r="M3" s="361"/>
      <c r="N3" s="362"/>
    </row>
    <row r="4" spans="2:14" ht="16.5">
      <c r="B4" s="107"/>
      <c r="C4" s="108"/>
      <c r="D4" s="109" t="s">
        <v>74</v>
      </c>
      <c r="E4" s="110" t="s">
        <v>74</v>
      </c>
      <c r="F4" s="111" t="s">
        <v>16</v>
      </c>
      <c r="G4" s="112" t="s">
        <v>48</v>
      </c>
      <c r="H4" s="113">
        <v>2007</v>
      </c>
      <c r="I4" s="114">
        <v>2008</v>
      </c>
      <c r="J4" s="115" t="s">
        <v>46</v>
      </c>
      <c r="K4" s="116" t="s">
        <v>43</v>
      </c>
      <c r="L4" s="117" t="s">
        <v>45</v>
      </c>
      <c r="M4" s="115" t="s">
        <v>43</v>
      </c>
      <c r="N4" s="113">
        <v>2008</v>
      </c>
    </row>
    <row r="5" spans="2:14" ht="16.5">
      <c r="B5" s="107"/>
      <c r="C5" s="108"/>
      <c r="D5" s="109">
        <v>2007</v>
      </c>
      <c r="E5" s="118">
        <v>2008</v>
      </c>
      <c r="F5" s="115"/>
      <c r="G5" s="112">
        <v>2007</v>
      </c>
      <c r="H5" s="113" t="s">
        <v>57</v>
      </c>
      <c r="I5" s="114"/>
      <c r="J5" s="115" t="s">
        <v>47</v>
      </c>
      <c r="K5" s="116" t="s">
        <v>16</v>
      </c>
      <c r="L5" s="117">
        <v>2006</v>
      </c>
      <c r="M5" s="115" t="s">
        <v>16</v>
      </c>
      <c r="N5" s="113" t="s">
        <v>61</v>
      </c>
    </row>
    <row r="6" spans="2:14" ht="16.5">
      <c r="B6" s="107"/>
      <c r="C6" s="108">
        <v>2002</v>
      </c>
      <c r="D6" s="109" t="s">
        <v>64</v>
      </c>
      <c r="E6" s="118" t="s">
        <v>64</v>
      </c>
      <c r="F6" s="108" t="s">
        <v>59</v>
      </c>
      <c r="G6" s="119" t="s">
        <v>64</v>
      </c>
      <c r="H6" s="113" t="s">
        <v>55</v>
      </c>
      <c r="I6" s="118" t="s">
        <v>64</v>
      </c>
      <c r="J6" s="115">
        <v>2003</v>
      </c>
      <c r="K6" s="116" t="s">
        <v>60</v>
      </c>
      <c r="L6" s="117"/>
      <c r="M6" s="115" t="s">
        <v>52</v>
      </c>
      <c r="N6" s="113" t="s">
        <v>55</v>
      </c>
    </row>
    <row r="7" spans="2:14" ht="17.25" thickBot="1">
      <c r="B7" s="120"/>
      <c r="C7" s="121"/>
      <c r="D7" s="122"/>
      <c r="E7" s="123"/>
      <c r="F7" s="124"/>
      <c r="G7" s="125"/>
      <c r="H7" s="126"/>
      <c r="I7" s="127"/>
      <c r="J7" s="128"/>
      <c r="K7" s="129"/>
      <c r="L7" s="130"/>
      <c r="M7" s="131"/>
      <c r="N7" s="132"/>
    </row>
    <row r="8" spans="2:14" ht="16.5">
      <c r="B8" s="133"/>
      <c r="C8" s="98"/>
      <c r="D8" s="134"/>
      <c r="E8" s="135"/>
      <c r="F8" s="136"/>
      <c r="G8" s="137"/>
      <c r="H8" s="138"/>
      <c r="I8" s="139"/>
      <c r="J8" s="140"/>
      <c r="K8" s="141"/>
      <c r="L8" s="142"/>
      <c r="M8" s="142"/>
      <c r="N8" s="143"/>
    </row>
    <row r="9" spans="2:19" ht="16.5">
      <c r="B9" s="144" t="s">
        <v>1</v>
      </c>
      <c r="C9" s="145">
        <f>C11+C28</f>
        <v>915767</v>
      </c>
      <c r="D9" s="146">
        <f>D11+D28</f>
        <v>3949199.8619450033</v>
      </c>
      <c r="E9" s="147">
        <f>E11+E28</f>
        <v>4257859</v>
      </c>
      <c r="F9" s="148">
        <f>(+E9/D9)*100-100</f>
        <v>7.815738601362668</v>
      </c>
      <c r="G9" s="149">
        <f>G11+G28</f>
        <v>7303699.78081719</v>
      </c>
      <c r="H9" s="150">
        <f>+G9/1000/$G$57*100</f>
        <v>47.150515880494545</v>
      </c>
      <c r="I9" s="147">
        <f>I11+I28</f>
        <v>7547962.553029789</v>
      </c>
      <c r="J9" s="151" t="e">
        <f>+I9/1000/$K$57*100</f>
        <v>#DIV/0!</v>
      </c>
      <c r="K9" s="152">
        <f>(+I9/G9-1)*100</f>
        <v>3.344370381353068</v>
      </c>
      <c r="L9" s="153" t="e">
        <f>+L11+L28</f>
        <v>#DIV/0!</v>
      </c>
      <c r="M9" s="154" t="e">
        <f>(L9/G9-1)*100</f>
        <v>#DIV/0!</v>
      </c>
      <c r="N9" s="155">
        <f>+I9/1000/$I$57*100</f>
        <v>44.57493298980576</v>
      </c>
      <c r="P9" s="64">
        <f>P11+P28</f>
        <v>2000394</v>
      </c>
      <c r="Q9" s="64">
        <f>Q11+Q28</f>
        <v>3417876.0717202546</v>
      </c>
      <c r="R9" s="64">
        <f>R11+R28</f>
        <v>2311364</v>
      </c>
      <c r="S9" s="227">
        <f>+R9/0.585274</f>
        <v>3949199.8619450037</v>
      </c>
    </row>
    <row r="10" spans="2:19" ht="16.5">
      <c r="B10" s="144"/>
      <c r="C10" s="145"/>
      <c r="D10" s="146"/>
      <c r="E10" s="147"/>
      <c r="F10" s="148"/>
      <c r="G10" s="149"/>
      <c r="H10" s="150"/>
      <c r="I10" s="147"/>
      <c r="J10" s="156"/>
      <c r="K10" s="152"/>
      <c r="L10" s="157"/>
      <c r="M10" s="158"/>
      <c r="N10" s="155"/>
      <c r="P10" s="64"/>
      <c r="Q10" s="64"/>
      <c r="R10" s="64"/>
      <c r="S10" s="227">
        <f aca="true" t="shared" si="0" ref="S10:S53">+R10/0.585274</f>
        <v>0</v>
      </c>
    </row>
    <row r="11" spans="2:19" ht="16.5">
      <c r="B11" s="144" t="s">
        <v>2</v>
      </c>
      <c r="C11" s="145">
        <f>C12+C27</f>
        <v>915200</v>
      </c>
      <c r="D11" s="146">
        <f>D12+D27</f>
        <v>3938849.1544131464</v>
      </c>
      <c r="E11" s="147">
        <f>E12+E27</f>
        <v>4247389</v>
      </c>
      <c r="F11" s="148">
        <f aca="true" t="shared" si="1" ref="F11:F16">(+E11/D11)*100-100</f>
        <v>7.833248583311715</v>
      </c>
      <c r="G11" s="149">
        <f>G12+G27</f>
        <v>7303699.78081719</v>
      </c>
      <c r="H11" s="150">
        <f aca="true" t="shared" si="2" ref="H11:H50">+G11/1000/$G$57*100</f>
        <v>47.150515880494545</v>
      </c>
      <c r="I11" s="147">
        <f>I12+I27</f>
        <v>7547962.553029789</v>
      </c>
      <c r="J11" s="151" t="e">
        <f>+I11/1000/$K$57*100</f>
        <v>#DIV/0!</v>
      </c>
      <c r="K11" s="152">
        <f aca="true" t="shared" si="3" ref="K11:K16">(+I11/G11-1)*100</f>
        <v>3.344370381353068</v>
      </c>
      <c r="L11" s="153" t="e">
        <f>+L12+L27</f>
        <v>#DIV/0!</v>
      </c>
      <c r="M11" s="154" t="e">
        <f aca="true" t="shared" si="4" ref="M11:M16">(L11/G11-1)*100</f>
        <v>#DIV/0!</v>
      </c>
      <c r="N11" s="155">
        <f aca="true" t="shared" si="5" ref="N11:N23">+I11/1000/$I$57*100</f>
        <v>44.57493298980576</v>
      </c>
      <c r="P11" s="64">
        <f>P12+P27</f>
        <v>1995002</v>
      </c>
      <c r="Q11" s="64">
        <f>Q12+Q27</f>
        <v>3408663.2927483544</v>
      </c>
      <c r="R11" s="64">
        <f>R12+R27</f>
        <v>2305306</v>
      </c>
      <c r="S11" s="227">
        <f t="shared" si="0"/>
        <v>3938849.154413147</v>
      </c>
    </row>
    <row r="12" spans="2:19" ht="16.5">
      <c r="B12" s="144" t="s">
        <v>3</v>
      </c>
      <c r="C12" s="145">
        <f>C13+C26</f>
        <v>914845</v>
      </c>
      <c r="D12" s="146">
        <f>D13+D26</f>
        <v>3938849.1544131464</v>
      </c>
      <c r="E12" s="147">
        <f>E13+E26</f>
        <v>4247389</v>
      </c>
      <c r="F12" s="148">
        <f t="shared" si="1"/>
        <v>7.833248583311715</v>
      </c>
      <c r="G12" s="149">
        <f>G13+G26</f>
        <v>7292199.78081719</v>
      </c>
      <c r="H12" s="150">
        <f t="shared" si="2"/>
        <v>47.07627529710558</v>
      </c>
      <c r="I12" s="147">
        <f>I13+I26</f>
        <v>7547962.553029789</v>
      </c>
      <c r="J12" s="151" t="e">
        <f aca="true" t="shared" si="6" ref="J12:J23">+I12/1000/$K$57*100</f>
        <v>#DIV/0!</v>
      </c>
      <c r="K12" s="152">
        <f t="shared" si="3"/>
        <v>3.507347301227348</v>
      </c>
      <c r="L12" s="153">
        <f>+L13+L26</f>
        <v>2824200</v>
      </c>
      <c r="M12" s="154">
        <f t="shared" si="4"/>
        <v>-61.27094587521695</v>
      </c>
      <c r="N12" s="155">
        <f t="shared" si="5"/>
        <v>44.57493298980576</v>
      </c>
      <c r="P12" s="64">
        <f>P13+P26</f>
        <v>1995002</v>
      </c>
      <c r="Q12" s="64">
        <f>Q13+Q26</f>
        <v>3408663.2927483544</v>
      </c>
      <c r="R12" s="64">
        <f>R13+R26</f>
        <v>2305306</v>
      </c>
      <c r="S12" s="227">
        <f t="shared" si="0"/>
        <v>3938849.154413147</v>
      </c>
    </row>
    <row r="13" spans="2:19" ht="16.5">
      <c r="B13" s="144" t="s">
        <v>4</v>
      </c>
      <c r="C13" s="145">
        <f>C14+C18+C25</f>
        <v>788907</v>
      </c>
      <c r="D13" s="146">
        <f>D14+D18+D25</f>
        <v>3518782.6556450482</v>
      </c>
      <c r="E13" s="147">
        <f>E14+E18+E25</f>
        <v>3791209</v>
      </c>
      <c r="F13" s="148">
        <f t="shared" si="1"/>
        <v>7.742062270254422</v>
      </c>
      <c r="G13" s="149">
        <f>G14+G18+G25</f>
        <v>6537699.78081719</v>
      </c>
      <c r="H13" s="150">
        <f t="shared" si="2"/>
        <v>42.20544745649947</v>
      </c>
      <c r="I13" s="147">
        <f>I14+I18+I25</f>
        <v>6838958.903029788</v>
      </c>
      <c r="J13" s="151" t="e">
        <f t="shared" si="6"/>
        <v>#DIV/0!</v>
      </c>
      <c r="K13" s="152">
        <f t="shared" si="3"/>
        <v>4.608029311724393</v>
      </c>
      <c r="L13" s="153">
        <f>+L14+L18+L25</f>
        <v>2442200</v>
      </c>
      <c r="M13" s="154">
        <f t="shared" si="4"/>
        <v>-62.64435379602682</v>
      </c>
      <c r="N13" s="155">
        <f t="shared" si="5"/>
        <v>40.38787059167663</v>
      </c>
      <c r="P13" s="64">
        <f>P14+P18+P25</f>
        <v>1780205</v>
      </c>
      <c r="Q13" s="64">
        <f>Q14+Q18+Q25</f>
        <v>3041660.8289450756</v>
      </c>
      <c r="R13" s="64">
        <f>R14+R18+R25</f>
        <v>2059452</v>
      </c>
      <c r="S13" s="227">
        <f t="shared" si="0"/>
        <v>3518782.6556450487</v>
      </c>
    </row>
    <row r="14" spans="2:19" ht="16.5">
      <c r="B14" s="144" t="s">
        <v>5</v>
      </c>
      <c r="C14" s="145">
        <f>C15+C16</f>
        <v>267215</v>
      </c>
      <c r="D14" s="146">
        <f>D15+D16</f>
        <v>1338569.6272173375</v>
      </c>
      <c r="E14" s="147">
        <f>E15+E16</f>
        <v>1346580</v>
      </c>
      <c r="F14" s="148">
        <f t="shared" si="1"/>
        <v>0.5984278008245809</v>
      </c>
      <c r="G14" s="149">
        <f>G15+G16</f>
        <v>2176000</v>
      </c>
      <c r="H14" s="150">
        <f t="shared" si="2"/>
        <v>14.047609517771903</v>
      </c>
      <c r="I14" s="147">
        <f>I15+I16</f>
        <v>2085297.644</v>
      </c>
      <c r="J14" s="151" t="e">
        <f t="shared" si="6"/>
        <v>#DIV/0!</v>
      </c>
      <c r="K14" s="152">
        <f t="shared" si="3"/>
        <v>-4.168306801470589</v>
      </c>
      <c r="L14" s="153">
        <f>+L15+L16</f>
        <v>798200</v>
      </c>
      <c r="M14" s="154">
        <f t="shared" si="4"/>
        <v>-63.318014705882355</v>
      </c>
      <c r="N14" s="155">
        <f t="shared" si="5"/>
        <v>12.314846833439635</v>
      </c>
      <c r="P14" s="64">
        <f>P15+P16</f>
        <v>628966</v>
      </c>
      <c r="Q14" s="64">
        <f>Q15+Q16</f>
        <v>1074652.214176608</v>
      </c>
      <c r="R14" s="64">
        <f>R15+R16</f>
        <v>783430</v>
      </c>
      <c r="S14" s="227">
        <f t="shared" si="0"/>
        <v>1338569.6272173377</v>
      </c>
    </row>
    <row r="15" spans="2:19" ht="16.5">
      <c r="B15" s="144" t="s">
        <v>6</v>
      </c>
      <c r="C15" s="145">
        <v>191033</v>
      </c>
      <c r="D15" s="146">
        <f>+S15</f>
        <v>950993.8934584486</v>
      </c>
      <c r="E15" s="147">
        <f>923661+16043</f>
        <v>939704</v>
      </c>
      <c r="F15" s="148">
        <f t="shared" si="1"/>
        <v>-1.1871678184379277</v>
      </c>
      <c r="G15" s="149">
        <v>1680040</v>
      </c>
      <c r="H15" s="150">
        <f t="shared" si="2"/>
        <v>10.845839105807679</v>
      </c>
      <c r="I15" s="229">
        <f>+G15*(0.9221)</f>
        <v>1549164.884</v>
      </c>
      <c r="J15" s="151" t="e">
        <f t="shared" si="6"/>
        <v>#DIV/0!</v>
      </c>
      <c r="K15" s="152">
        <f t="shared" si="3"/>
        <v>-7.789999999999997</v>
      </c>
      <c r="L15" s="153">
        <f>-5000+502900</f>
        <v>497900</v>
      </c>
      <c r="M15" s="154">
        <f t="shared" si="4"/>
        <v>-70.36380086188424</v>
      </c>
      <c r="N15" s="155">
        <f t="shared" si="5"/>
        <v>9.148683556563437</v>
      </c>
      <c r="P15" s="64">
        <f>421485+3855</f>
        <v>425340</v>
      </c>
      <c r="Q15" s="93">
        <f>+P15/0.585274</f>
        <v>726736.5370749427</v>
      </c>
      <c r="R15" s="64">
        <f>551186+5406</f>
        <v>556592</v>
      </c>
      <c r="S15" s="227">
        <f t="shared" si="0"/>
        <v>950993.8934584486</v>
      </c>
    </row>
    <row r="16" spans="2:19" ht="16.5">
      <c r="B16" s="144" t="s">
        <v>7</v>
      </c>
      <c r="C16" s="145">
        <v>76182</v>
      </c>
      <c r="D16" s="146">
        <f>+S16</f>
        <v>387575.733758889</v>
      </c>
      <c r="E16" s="147">
        <f>59534+72896+274446</f>
        <v>406876</v>
      </c>
      <c r="F16" s="148">
        <f t="shared" si="1"/>
        <v>4.979740618414908</v>
      </c>
      <c r="G16" s="149">
        <f>2176000-1680040</f>
        <v>495960</v>
      </c>
      <c r="H16" s="150">
        <f t="shared" si="2"/>
        <v>3.2017704119642247</v>
      </c>
      <c r="I16" s="229">
        <f>+G16*1.081</f>
        <v>536132.76</v>
      </c>
      <c r="J16" s="151" t="e">
        <f t="shared" si="6"/>
        <v>#DIV/0!</v>
      </c>
      <c r="K16" s="152">
        <f t="shared" si="3"/>
        <v>8.099999999999996</v>
      </c>
      <c r="L16" s="153">
        <f>308300-8000</f>
        <v>300300</v>
      </c>
      <c r="M16" s="154">
        <f t="shared" si="4"/>
        <v>-39.450762158238575</v>
      </c>
      <c r="N16" s="155">
        <f t="shared" si="5"/>
        <v>3.1661632768761954</v>
      </c>
      <c r="P16" s="64">
        <f>36981+48640+118005</f>
        <v>203626</v>
      </c>
      <c r="Q16" s="93">
        <f>+P16/0.585274</f>
        <v>347915.67710166523</v>
      </c>
      <c r="R16" s="64">
        <f>41574+51337+133927</f>
        <v>226838</v>
      </c>
      <c r="S16" s="227">
        <f t="shared" si="0"/>
        <v>387575.733758889</v>
      </c>
    </row>
    <row r="17" spans="2:19" ht="16.5">
      <c r="B17" s="133"/>
      <c r="C17" s="160"/>
      <c r="D17" s="161"/>
      <c r="E17" s="162"/>
      <c r="F17" s="163"/>
      <c r="G17" s="149"/>
      <c r="H17" s="150"/>
      <c r="I17" s="147"/>
      <c r="J17" s="164"/>
      <c r="K17" s="165"/>
      <c r="L17" s="158"/>
      <c r="M17" s="158"/>
      <c r="N17" s="155">
        <f t="shared" si="5"/>
        <v>0</v>
      </c>
      <c r="P17" s="65"/>
      <c r="R17" s="65"/>
      <c r="S17" s="227">
        <f t="shared" si="0"/>
        <v>0</v>
      </c>
    </row>
    <row r="18" spans="2:19" ht="16.5">
      <c r="B18" s="144" t="s">
        <v>9</v>
      </c>
      <c r="C18" s="145">
        <f>C19+C20</f>
        <v>371674</v>
      </c>
      <c r="D18" s="146">
        <f>D19+D20</f>
        <v>1706986.8130140756</v>
      </c>
      <c r="E18" s="147">
        <f>E19+E20</f>
        <v>1860541</v>
      </c>
      <c r="F18" s="148">
        <f aca="true" t="shared" si="7" ref="F18:F23">(+E18/D18)*100-100</f>
        <v>8.995628192041465</v>
      </c>
      <c r="G18" s="149">
        <f>G19+G20</f>
        <v>3113899.78081719</v>
      </c>
      <c r="H18" s="150">
        <f t="shared" si="2"/>
        <v>20.10241185588024</v>
      </c>
      <c r="I18" s="147">
        <f>I19+I20</f>
        <v>3415021.419029788</v>
      </c>
      <c r="J18" s="151" t="e">
        <f t="shared" si="6"/>
        <v>#DIV/0!</v>
      </c>
      <c r="K18" s="152">
        <f aca="true" t="shared" si="8" ref="K18:K23">(+I18/G18-1)*100</f>
        <v>9.670241799932743</v>
      </c>
      <c r="L18" s="153">
        <f>+L19+L20</f>
        <v>1207200</v>
      </c>
      <c r="M18" s="154">
        <f aca="true" t="shared" si="9" ref="M18:M23">(L18/G18-1)*100</f>
        <v>-61.23189296467368</v>
      </c>
      <c r="N18" s="155">
        <f t="shared" si="5"/>
        <v>20.16760812504304</v>
      </c>
      <c r="P18" s="64">
        <f>P19+P20</f>
        <v>889811</v>
      </c>
      <c r="Q18" s="64">
        <f>Q19+Q20</f>
        <v>1520332.3571523766</v>
      </c>
      <c r="R18" s="64">
        <f>R19+R20</f>
        <v>999055</v>
      </c>
      <c r="S18" s="227">
        <f t="shared" si="0"/>
        <v>1706986.8130140756</v>
      </c>
    </row>
    <row r="19" spans="2:19" ht="16.5">
      <c r="B19" s="144" t="s">
        <v>10</v>
      </c>
      <c r="C19" s="145">
        <v>36073</v>
      </c>
      <c r="D19" s="146">
        <f>+S19</f>
        <v>36054.90761592007</v>
      </c>
      <c r="E19" s="147">
        <f>37069+1747</f>
        <v>38816</v>
      </c>
      <c r="F19" s="148">
        <f t="shared" si="7"/>
        <v>7.6580209648374336</v>
      </c>
      <c r="G19" s="149">
        <v>50220</v>
      </c>
      <c r="H19" s="150">
        <f t="shared" si="2"/>
        <v>0.3242053998081365</v>
      </c>
      <c r="I19" s="229">
        <f>+G19*1.3</f>
        <v>65286</v>
      </c>
      <c r="J19" s="151" t="e">
        <f t="shared" si="6"/>
        <v>#DIV/0!</v>
      </c>
      <c r="K19" s="152">
        <f t="shared" si="8"/>
        <v>30.000000000000004</v>
      </c>
      <c r="L19" s="153">
        <v>26700</v>
      </c>
      <c r="M19" s="154">
        <f t="shared" si="9"/>
        <v>-46.83393070489845</v>
      </c>
      <c r="N19" s="155">
        <f t="shared" si="5"/>
        <v>0.38555027992346397</v>
      </c>
      <c r="P19" s="84">
        <f>2036+16629</f>
        <v>18665</v>
      </c>
      <c r="Q19" s="84">
        <f>(2036+16629)/0.585274</f>
        <v>31891.045903286325</v>
      </c>
      <c r="R19" s="84">
        <f>19152+1950</f>
        <v>21102</v>
      </c>
      <c r="S19" s="227">
        <f t="shared" si="0"/>
        <v>36054.90761592007</v>
      </c>
    </row>
    <row r="20" spans="2:19" ht="16.5">
      <c r="B20" s="144" t="s">
        <v>11</v>
      </c>
      <c r="C20" s="145">
        <v>335601</v>
      </c>
      <c r="D20" s="146">
        <f>SUM(D21:D23)</f>
        <v>1670931.9053981556</v>
      </c>
      <c r="E20" s="147">
        <f>SUM(E21:E23)</f>
        <v>1821725</v>
      </c>
      <c r="F20" s="148">
        <f t="shared" si="7"/>
        <v>9.024490711721313</v>
      </c>
      <c r="G20" s="149">
        <f>SUM(G21:G23)</f>
        <v>3063679.78081719</v>
      </c>
      <c r="H20" s="150">
        <f t="shared" si="2"/>
        <v>19.778206456072105</v>
      </c>
      <c r="I20" s="147">
        <f>SUM(I21:I23)</f>
        <v>3349735.419029788</v>
      </c>
      <c r="J20" s="151" t="e">
        <f t="shared" si="6"/>
        <v>#DIV/0!</v>
      </c>
      <c r="K20" s="152">
        <f t="shared" si="8"/>
        <v>9.33699533494643</v>
      </c>
      <c r="L20" s="153">
        <f>+L21+L22+L23</f>
        <v>1180500</v>
      </c>
      <c r="M20" s="154">
        <f t="shared" si="9"/>
        <v>-61.467905118820234</v>
      </c>
      <c r="N20" s="155">
        <f t="shared" si="5"/>
        <v>19.782057845119578</v>
      </c>
      <c r="P20" s="64">
        <f>SUM(P21:P23)</f>
        <v>871146</v>
      </c>
      <c r="Q20" s="64">
        <f>SUM(Q21:Q23)</f>
        <v>1488441.3112490901</v>
      </c>
      <c r="R20" s="64">
        <f>SUM(R21:R23)</f>
        <v>977953</v>
      </c>
      <c r="S20" s="227">
        <f t="shared" si="0"/>
        <v>1670931.9053981556</v>
      </c>
    </row>
    <row r="21" spans="2:19" ht="16.5">
      <c r="B21" s="144" t="s">
        <v>12</v>
      </c>
      <c r="C21" s="145">
        <v>88941</v>
      </c>
      <c r="D21" s="146">
        <f>+S21</f>
        <v>415902.6370554647</v>
      </c>
      <c r="E21" s="147">
        <f>392090+34187</f>
        <v>426277</v>
      </c>
      <c r="F21" s="148">
        <f t="shared" si="7"/>
        <v>2.4944210544045546</v>
      </c>
      <c r="G21" s="149">
        <v>620261.6210527036</v>
      </c>
      <c r="H21" s="150">
        <f t="shared" si="2"/>
        <v>4.004224747889977</v>
      </c>
      <c r="I21" s="229">
        <f>+G21*1.05</f>
        <v>651274.7021053388</v>
      </c>
      <c r="J21" s="151" t="e">
        <f t="shared" si="6"/>
        <v>#DIV/0!</v>
      </c>
      <c r="K21" s="152">
        <f t="shared" si="8"/>
        <v>5.000000000000004</v>
      </c>
      <c r="L21" s="153">
        <v>347400</v>
      </c>
      <c r="M21" s="154">
        <f t="shared" si="9"/>
        <v>-43.99137586323732</v>
      </c>
      <c r="N21" s="155">
        <f t="shared" si="5"/>
        <v>3.8461407300766464</v>
      </c>
      <c r="P21" s="64">
        <f>211928-1122</f>
        <v>210806</v>
      </c>
      <c r="Q21" s="64">
        <f>(211928-1122)/0.585274</f>
        <v>360183.43545074615</v>
      </c>
      <c r="R21" s="64">
        <f>244525-1108</f>
        <v>243417</v>
      </c>
      <c r="S21" s="227">
        <f t="shared" si="0"/>
        <v>415902.6370554647</v>
      </c>
    </row>
    <row r="22" spans="2:19" ht="16.5">
      <c r="B22" s="144" t="s">
        <v>13</v>
      </c>
      <c r="C22" s="145">
        <v>178000</v>
      </c>
      <c r="D22" s="146">
        <f>+S22</f>
        <v>960261.347676473</v>
      </c>
      <c r="E22" s="147">
        <v>1097047</v>
      </c>
      <c r="F22" s="148">
        <f t="shared" si="7"/>
        <v>14.244627533379827</v>
      </c>
      <c r="G22" s="149">
        <v>1599531.1597644866</v>
      </c>
      <c r="H22" s="150">
        <f t="shared" si="2"/>
        <v>10.326097952150889</v>
      </c>
      <c r="I22" s="229">
        <f>+G22*1.17</f>
        <v>1871451.4569244492</v>
      </c>
      <c r="J22" s="151" t="e">
        <f t="shared" si="6"/>
        <v>#DIV/0!</v>
      </c>
      <c r="K22" s="152">
        <f t="shared" si="8"/>
        <v>16.999999999999993</v>
      </c>
      <c r="L22" s="153">
        <f>685300-5000</f>
        <v>680300</v>
      </c>
      <c r="M22" s="154">
        <f t="shared" si="9"/>
        <v>-57.46878728513381</v>
      </c>
      <c r="N22" s="155">
        <f t="shared" si="5"/>
        <v>11.051965705976714</v>
      </c>
      <c r="P22" s="66">
        <v>505053</v>
      </c>
      <c r="Q22" s="66">
        <f>505053/0.585274</f>
        <v>862934.2837713618</v>
      </c>
      <c r="R22" s="66">
        <v>562016</v>
      </c>
      <c r="S22" s="227">
        <f t="shared" si="0"/>
        <v>960261.347676473</v>
      </c>
    </row>
    <row r="23" spans="2:19" ht="16.5">
      <c r="B23" s="144" t="s">
        <v>8</v>
      </c>
      <c r="C23" s="145">
        <f>335601-C22</f>
        <v>157601</v>
      </c>
      <c r="D23" s="146">
        <f>+S23</f>
        <v>294767.9206662179</v>
      </c>
      <c r="E23" s="147">
        <v>298401</v>
      </c>
      <c r="F23" s="148">
        <f t="shared" si="7"/>
        <v>1.2325219533966987</v>
      </c>
      <c r="G23" s="149">
        <f>3113900-2270013</f>
        <v>843887</v>
      </c>
      <c r="H23" s="150">
        <f t="shared" si="2"/>
        <v>5.44788375603124</v>
      </c>
      <c r="I23" s="229">
        <f>G23*0.98</f>
        <v>827009.26</v>
      </c>
      <c r="J23" s="151" t="e">
        <f t="shared" si="6"/>
        <v>#DIV/0!</v>
      </c>
      <c r="K23" s="152">
        <f t="shared" si="8"/>
        <v>-2.0000000000000018</v>
      </c>
      <c r="L23" s="153">
        <v>152800</v>
      </c>
      <c r="M23" s="154">
        <f t="shared" si="9"/>
        <v>-81.89331036027335</v>
      </c>
      <c r="N23" s="155">
        <f t="shared" si="5"/>
        <v>4.8839514090662135</v>
      </c>
      <c r="P23" s="66">
        <v>155287</v>
      </c>
      <c r="Q23" s="66">
        <f>155287/0.585274</f>
        <v>265323.5920269822</v>
      </c>
      <c r="R23" s="66">
        <v>172520</v>
      </c>
      <c r="S23" s="227">
        <f t="shared" si="0"/>
        <v>294767.9206662179</v>
      </c>
    </row>
    <row r="24" spans="2:19" ht="16.5">
      <c r="B24" s="166"/>
      <c r="C24" s="167"/>
      <c r="D24" s="168"/>
      <c r="E24" s="169"/>
      <c r="F24" s="167"/>
      <c r="G24" s="149"/>
      <c r="H24" s="150"/>
      <c r="I24" s="170"/>
      <c r="J24" s="171"/>
      <c r="K24" s="172"/>
      <c r="L24" s="158"/>
      <c r="M24" s="158"/>
      <c r="N24" s="155"/>
      <c r="P24" s="67"/>
      <c r="Q24" s="67"/>
      <c r="R24" s="67"/>
      <c r="S24" s="227">
        <f t="shared" si="0"/>
        <v>0</v>
      </c>
    </row>
    <row r="25" spans="1:19" ht="16.5">
      <c r="A25" s="173" t="s">
        <v>51</v>
      </c>
      <c r="B25" s="144" t="s">
        <v>23</v>
      </c>
      <c r="C25" s="145">
        <v>150018</v>
      </c>
      <c r="D25" s="146">
        <f>+S25</f>
        <v>473226.21541363536</v>
      </c>
      <c r="E25" s="147">
        <v>584088</v>
      </c>
      <c r="F25" s="148">
        <f>(+E25/D25)*100-100</f>
        <v>23.426805399921278</v>
      </c>
      <c r="G25" s="149">
        <v>1247800</v>
      </c>
      <c r="H25" s="150">
        <f t="shared" si="2"/>
        <v>8.055426082847326</v>
      </c>
      <c r="I25" s="229">
        <f>+G25*1.0728</f>
        <v>1338639.84</v>
      </c>
      <c r="J25" s="151" t="e">
        <f>+I25/1000/$K$57*100</f>
        <v>#DIV/0!</v>
      </c>
      <c r="K25" s="152">
        <f>(+I25/G25-1)*100</f>
        <v>7.279999999999998</v>
      </c>
      <c r="L25" s="153">
        <v>436800</v>
      </c>
      <c r="M25" s="154">
        <f>(L25/G25-1)*100</f>
        <v>-64.99439012662286</v>
      </c>
      <c r="N25" s="155">
        <f>+I25/1000/$I$57*100</f>
        <v>7.905415633193962</v>
      </c>
      <c r="P25" s="64">
        <v>261428</v>
      </c>
      <c r="Q25" s="64">
        <f>261428/0.585274</f>
        <v>446676.25761609094</v>
      </c>
      <c r="R25" s="64">
        <v>276967</v>
      </c>
      <c r="S25" s="227">
        <f t="shared" si="0"/>
        <v>473226.21541363536</v>
      </c>
    </row>
    <row r="26" spans="1:19" ht="16.5">
      <c r="A26" s="93" t="s">
        <v>49</v>
      </c>
      <c r="B26" s="144" t="s">
        <v>14</v>
      </c>
      <c r="C26" s="145">
        <v>125938</v>
      </c>
      <c r="D26" s="146">
        <f>+S26</f>
        <v>420066.49876809836</v>
      </c>
      <c r="E26" s="147">
        <f>114092+861+341227</f>
        <v>456180</v>
      </c>
      <c r="F26" s="148">
        <f>(+E26/D26)*100-100</f>
        <v>8.597091493325308</v>
      </c>
      <c r="G26" s="149">
        <v>754500</v>
      </c>
      <c r="H26" s="150">
        <f t="shared" si="2"/>
        <v>4.870827840606113</v>
      </c>
      <c r="I26" s="229">
        <f>+G26*0.9397</f>
        <v>709003.65</v>
      </c>
      <c r="J26" s="151" t="e">
        <f>+I26/1000/$K$57*100</f>
        <v>#DIV/0!</v>
      </c>
      <c r="K26" s="152">
        <f>(+I26/G26-1)*100</f>
        <v>-6.030000000000002</v>
      </c>
      <c r="L26" s="153">
        <v>382000</v>
      </c>
      <c r="M26" s="154">
        <f>(L26/G26-1)*100</f>
        <v>-49.37044400265076</v>
      </c>
      <c r="N26" s="155">
        <f>+I26/1000/$I$57*100</f>
        <v>4.187062398129119</v>
      </c>
      <c r="P26" s="64">
        <f>67020+142469+5308</f>
        <v>214797</v>
      </c>
      <c r="Q26" s="64">
        <f>(67020+142469+5308)/0.585274</f>
        <v>367002.4638032785</v>
      </c>
      <c r="R26" s="64">
        <f>167785+72761+5308</f>
        <v>245854</v>
      </c>
      <c r="S26" s="227">
        <f t="shared" si="0"/>
        <v>420066.49876809836</v>
      </c>
    </row>
    <row r="27" spans="2:19" ht="16.5">
      <c r="B27" s="144" t="s">
        <v>15</v>
      </c>
      <c r="C27" s="145">
        <v>355</v>
      </c>
      <c r="D27" s="146">
        <v>0</v>
      </c>
      <c r="E27" s="147">
        <v>0</v>
      </c>
      <c r="F27" s="148">
        <v>0</v>
      </c>
      <c r="G27" s="149">
        <v>11500</v>
      </c>
      <c r="H27" s="150">
        <f t="shared" si="2"/>
        <v>0.07424058338895997</v>
      </c>
      <c r="I27" s="159">
        <v>0</v>
      </c>
      <c r="J27" s="151" t="e">
        <f>+I27/1000/$K$57*100</f>
        <v>#DIV/0!</v>
      </c>
      <c r="K27" s="152">
        <f>(+I27/G27-1)*100</f>
        <v>-100</v>
      </c>
      <c r="L27" s="153" t="e">
        <f>I27/(1+K27/100)*(1+F27/100)</f>
        <v>#DIV/0!</v>
      </c>
      <c r="M27" s="154"/>
      <c r="N27" s="155">
        <f>+I27/1000/$I$57*100</f>
        <v>0</v>
      </c>
      <c r="P27" s="64">
        <v>0</v>
      </c>
      <c r="Q27" s="64">
        <v>0</v>
      </c>
      <c r="R27" s="64">
        <v>0</v>
      </c>
      <c r="S27" s="227">
        <f t="shared" si="0"/>
        <v>0</v>
      </c>
    </row>
    <row r="28" spans="2:19" ht="16.5">
      <c r="B28" s="144" t="s">
        <v>39</v>
      </c>
      <c r="C28" s="145">
        <v>567</v>
      </c>
      <c r="D28" s="146">
        <f>+S28</f>
        <v>10350.707531856875</v>
      </c>
      <c r="E28" s="147">
        <v>10470</v>
      </c>
      <c r="F28" s="148">
        <f>(+E28/D28)*100-100</f>
        <v>1.1525054473423495</v>
      </c>
      <c r="G28" s="149">
        <v>0</v>
      </c>
      <c r="H28" s="150">
        <f t="shared" si="2"/>
        <v>0</v>
      </c>
      <c r="I28" s="147">
        <v>0</v>
      </c>
      <c r="J28" s="151" t="e">
        <f>+I28/1000/$K$57*100</f>
        <v>#DIV/0!</v>
      </c>
      <c r="K28" s="152"/>
      <c r="L28" s="153">
        <v>95000</v>
      </c>
      <c r="M28" s="154" t="e">
        <f>(L28/G28-1)*100</f>
        <v>#DIV/0!</v>
      </c>
      <c r="N28" s="155">
        <f>+I28/1000/$I$57*100</f>
        <v>0</v>
      </c>
      <c r="P28" s="64">
        <v>5392</v>
      </c>
      <c r="Q28" s="64">
        <f>5392/0.585274</f>
        <v>9212.778971900341</v>
      </c>
      <c r="R28" s="64">
        <v>6058</v>
      </c>
      <c r="S28" s="227">
        <f t="shared" si="0"/>
        <v>10350.707531856875</v>
      </c>
    </row>
    <row r="29" spans="2:19" ht="16.5">
      <c r="B29" s="166"/>
      <c r="C29" s="167"/>
      <c r="D29" s="168"/>
      <c r="E29" s="169"/>
      <c r="F29" s="167"/>
      <c r="G29" s="149">
        <v>0</v>
      </c>
      <c r="H29" s="150"/>
      <c r="I29" s="169"/>
      <c r="J29" s="171"/>
      <c r="K29" s="172"/>
      <c r="L29" s="158"/>
      <c r="M29" s="158"/>
      <c r="N29" s="155"/>
      <c r="P29" s="67"/>
      <c r="Q29" s="67"/>
      <c r="R29" s="67"/>
      <c r="S29" s="227">
        <f t="shared" si="0"/>
        <v>0</v>
      </c>
    </row>
    <row r="30" spans="2:19" ht="16.5">
      <c r="B30" s="144" t="s">
        <v>36</v>
      </c>
      <c r="C30" s="156">
        <f>+C32+C46</f>
        <v>1016432</v>
      </c>
      <c r="D30" s="146">
        <f>+D32+D46</f>
        <v>3567511.7509508375</v>
      </c>
      <c r="E30" s="147">
        <f>+E32+E46</f>
        <v>3908819</v>
      </c>
      <c r="F30" s="174">
        <f>(+E30/D30)*100-100</f>
        <v>9.567095299915835</v>
      </c>
      <c r="G30" s="149">
        <f>+G32+G46</f>
        <v>6798200.374990176</v>
      </c>
      <c r="H30" s="150">
        <f t="shared" si="2"/>
        <v>43.88716189863627</v>
      </c>
      <c r="I30" s="147">
        <f>+I32+I46</f>
        <v>7446487.178696405</v>
      </c>
      <c r="J30" s="151" t="e">
        <f>+I30/1000/$K$57*100</f>
        <v>#DIV/0!</v>
      </c>
      <c r="K30" s="152">
        <f>(+I30/G30-1)*100</f>
        <v>9.536153216242393</v>
      </c>
      <c r="L30" s="153">
        <f>+L32</f>
        <v>3115750</v>
      </c>
      <c r="M30" s="154">
        <f>(L30/G30-1)*100</f>
        <v>-54.16801759091277</v>
      </c>
      <c r="N30" s="155">
        <f>+I30/1000/$I$57*100</f>
        <v>43.97566424950042</v>
      </c>
      <c r="P30" s="66">
        <f>+P32+P46</f>
        <v>1849239</v>
      </c>
      <c r="Q30" s="66">
        <f>+Q32+Q46</f>
        <v>3159612.4208490388</v>
      </c>
      <c r="R30" s="66">
        <f>+R32+R46</f>
        <v>2087972</v>
      </c>
      <c r="S30" s="227">
        <f t="shared" si="0"/>
        <v>3567511.968753097</v>
      </c>
    </row>
    <row r="31" spans="2:19" ht="16.5">
      <c r="B31" s="144"/>
      <c r="C31" s="164"/>
      <c r="D31" s="161"/>
      <c r="E31" s="162"/>
      <c r="F31" s="174"/>
      <c r="G31" s="149"/>
      <c r="H31" s="150"/>
      <c r="I31" s="162"/>
      <c r="J31" s="175"/>
      <c r="K31" s="152"/>
      <c r="L31" s="158"/>
      <c r="M31" s="154"/>
      <c r="N31" s="155"/>
      <c r="P31" s="65"/>
      <c r="Q31" s="65"/>
      <c r="R31" s="65"/>
      <c r="S31" s="227">
        <f t="shared" si="0"/>
        <v>0</v>
      </c>
    </row>
    <row r="32" spans="2:19" ht="16.5">
      <c r="B32" s="144" t="s">
        <v>37</v>
      </c>
      <c r="C32" s="145">
        <f>+C33+C43</f>
        <v>1008790</v>
      </c>
      <c r="D32" s="146">
        <f>+D33+D43</f>
        <v>3567511.7509508375</v>
      </c>
      <c r="E32" s="147">
        <f>+E33+E43</f>
        <v>3908819</v>
      </c>
      <c r="F32" s="174">
        <f aca="true" t="shared" si="10" ref="F32:F44">(+E32/D32)*100-100</f>
        <v>9.567095299915835</v>
      </c>
      <c r="G32" s="149">
        <f>+G33+G43</f>
        <v>6798200.374990176</v>
      </c>
      <c r="H32" s="150">
        <f t="shared" si="2"/>
        <v>43.88716189863627</v>
      </c>
      <c r="I32" s="147">
        <f>+I33+I43</f>
        <v>7446487.178696405</v>
      </c>
      <c r="J32" s="151" t="e">
        <f aca="true" t="shared" si="11" ref="J32:J45">+I32/1000/$K$57*100</f>
        <v>#DIV/0!</v>
      </c>
      <c r="K32" s="152">
        <f aca="true" t="shared" si="12" ref="K32:K45">(+I32/G32-1)*100</f>
        <v>9.536153216242393</v>
      </c>
      <c r="L32" s="153">
        <f>+L33+L43</f>
        <v>3115750</v>
      </c>
      <c r="M32" s="154">
        <f aca="true" t="shared" si="13" ref="M32:M44">(L32/G32-1)*100</f>
        <v>-54.16801759091277</v>
      </c>
      <c r="N32" s="155">
        <f aca="true" t="shared" si="14" ref="N32:N46">+I32/1000/$I$57*100</f>
        <v>43.97566424950042</v>
      </c>
      <c r="P32" s="66">
        <f>+P33+P43</f>
        <v>1849239</v>
      </c>
      <c r="Q32" s="66">
        <f>+Q33+Q43</f>
        <v>3159612.4208490388</v>
      </c>
      <c r="R32" s="66">
        <f>+R33+R43</f>
        <v>2087972</v>
      </c>
      <c r="S32" s="227">
        <f t="shared" si="0"/>
        <v>3567511.968753097</v>
      </c>
    </row>
    <row r="33" spans="2:19" ht="16.5">
      <c r="B33" s="144" t="s">
        <v>34</v>
      </c>
      <c r="C33" s="145">
        <f>SUM(C34:C42)</f>
        <v>937943</v>
      </c>
      <c r="D33" s="146">
        <f>SUM(D34:D42)</f>
        <v>3423179.360955724</v>
      </c>
      <c r="E33" s="147">
        <f>SUM(E34:E42)</f>
        <v>3745188</v>
      </c>
      <c r="F33" s="174">
        <f t="shared" si="10"/>
        <v>9.406712447412445</v>
      </c>
      <c r="G33" s="149">
        <f>SUM(G34:G42)</f>
        <v>6205300.374990176</v>
      </c>
      <c r="H33" s="150">
        <f t="shared" si="2"/>
        <v>40.059575647217635</v>
      </c>
      <c r="I33" s="147">
        <f>SUM(I34:I42)</f>
        <v>6778950.178696405</v>
      </c>
      <c r="J33" s="151" t="e">
        <f t="shared" si="11"/>
        <v>#DIV/0!</v>
      </c>
      <c r="K33" s="152">
        <f t="shared" si="12"/>
        <v>9.244513062063287</v>
      </c>
      <c r="L33" s="153">
        <f>SUM(L34:L42)</f>
        <v>2894990</v>
      </c>
      <c r="M33" s="154">
        <f t="shared" si="13"/>
        <v>-53.346496945289566</v>
      </c>
      <c r="N33" s="155">
        <f t="shared" si="14"/>
        <v>40.03348557092814</v>
      </c>
      <c r="P33" s="66">
        <f>SUM(P34:P42)</f>
        <v>1774412</v>
      </c>
      <c r="Q33" s="66">
        <f>SUM(Q34:Q42)</f>
        <v>3031762.9007951836</v>
      </c>
      <c r="R33" s="66">
        <f>SUM(R34:R42)</f>
        <v>2003499</v>
      </c>
      <c r="S33" s="227">
        <f t="shared" si="0"/>
        <v>3423181.2791957273</v>
      </c>
    </row>
    <row r="34" spans="2:19" ht="16.5">
      <c r="B34" s="133" t="s">
        <v>17</v>
      </c>
      <c r="C34" s="160">
        <v>269354</v>
      </c>
      <c r="D34" s="146">
        <f>+S34</f>
        <v>975462.7747003968</v>
      </c>
      <c r="E34" s="162">
        <v>1065926</v>
      </c>
      <c r="F34" s="176">
        <f t="shared" si="10"/>
        <v>9.273877757907073</v>
      </c>
      <c r="G34" s="149">
        <v>2256200</v>
      </c>
      <c r="H34" s="150">
        <f t="shared" si="2"/>
        <v>14.565356890623606</v>
      </c>
      <c r="I34" s="229">
        <f>+G34*1.09</f>
        <v>2459258</v>
      </c>
      <c r="J34" s="151" t="e">
        <f t="shared" si="11"/>
        <v>#DIV/0!</v>
      </c>
      <c r="K34" s="152">
        <f t="shared" si="12"/>
        <v>9.000000000000007</v>
      </c>
      <c r="L34" s="177">
        <v>820700</v>
      </c>
      <c r="M34" s="154">
        <f t="shared" si="13"/>
        <v>-63.624678663239074</v>
      </c>
      <c r="N34" s="155">
        <f t="shared" si="14"/>
        <v>14.523291521980486</v>
      </c>
      <c r="P34" s="65">
        <v>499308</v>
      </c>
      <c r="Q34" s="65">
        <f>499308/0.585274</f>
        <v>853118.3684906557</v>
      </c>
      <c r="R34" s="65">
        <v>570913</v>
      </c>
      <c r="S34" s="227">
        <f t="shared" si="0"/>
        <v>975462.7747003968</v>
      </c>
    </row>
    <row r="35" spans="1:19" ht="16.5">
      <c r="A35" s="93" t="s">
        <v>54</v>
      </c>
      <c r="B35" s="133" t="s">
        <v>18</v>
      </c>
      <c r="C35" s="160">
        <v>76954</v>
      </c>
      <c r="D35" s="146">
        <f>(159857+40)/0.585274-171-2073-4379-4506-361-449-1-10520-95-240-498-3947-1164</f>
        <v>244796.24467172642</v>
      </c>
      <c r="E35" s="162">
        <f>274601+40-101-1294-4048-3235-54-183-56-112-190-374-2088-56</f>
        <v>262850</v>
      </c>
      <c r="F35" s="176">
        <f t="shared" si="10"/>
        <v>7.375013188002043</v>
      </c>
      <c r="G35" s="149">
        <v>788500</v>
      </c>
      <c r="H35" s="150">
        <f t="shared" si="2"/>
        <v>5.090321739321299</v>
      </c>
      <c r="I35" s="229">
        <f>+G35*1.0798</f>
        <v>851422.3</v>
      </c>
      <c r="J35" s="151" t="e">
        <f t="shared" si="11"/>
        <v>#DIV/0!</v>
      </c>
      <c r="K35" s="152">
        <f t="shared" si="12"/>
        <v>7.980000000000009</v>
      </c>
      <c r="L35" s="177">
        <v>207290</v>
      </c>
      <c r="M35" s="154">
        <f t="shared" si="13"/>
        <v>-73.71084337349399</v>
      </c>
      <c r="N35" s="155">
        <f t="shared" si="14"/>
        <v>5.028124040346774</v>
      </c>
      <c r="P35" s="65">
        <f>137767+38-100-1206-2330-2259-211-238-1-5738-55-140-291-2176-681</f>
        <v>122379</v>
      </c>
      <c r="Q35" s="65">
        <f>(137767+38-100-1206-2330-2259-211-238-1-5738-55-140-291-2176-681)/0.585274</f>
        <v>209096.93579417505</v>
      </c>
      <c r="R35" s="65">
        <f>159857+40-100-1213-2563-2637-211-263-1-6157-55-140-292-2310-681</f>
        <v>143274</v>
      </c>
      <c r="S35" s="227">
        <f t="shared" si="0"/>
        <v>244798.16291173024</v>
      </c>
    </row>
    <row r="36" spans="2:19" ht="16.5">
      <c r="B36" s="133" t="s">
        <v>19</v>
      </c>
      <c r="C36" s="160">
        <v>15523</v>
      </c>
      <c r="D36" s="146">
        <f>+S36</f>
        <v>45729.00897699198</v>
      </c>
      <c r="E36" s="162">
        <v>26090</v>
      </c>
      <c r="F36" s="176">
        <f t="shared" si="10"/>
        <v>-42.94650029890899</v>
      </c>
      <c r="G36" s="149">
        <v>65500</v>
      </c>
      <c r="H36" s="150">
        <f t="shared" si="2"/>
        <v>0.42284854017190243</v>
      </c>
      <c r="I36" s="229">
        <v>100000</v>
      </c>
      <c r="J36" s="151" t="e">
        <f t="shared" si="11"/>
        <v>#DIV/0!</v>
      </c>
      <c r="K36" s="152">
        <f t="shared" si="12"/>
        <v>52.67175572519085</v>
      </c>
      <c r="L36" s="177">
        <v>50000</v>
      </c>
      <c r="M36" s="154">
        <f t="shared" si="13"/>
        <v>-23.664122137404576</v>
      </c>
      <c r="N36" s="155">
        <f t="shared" si="14"/>
        <v>0.5905558311482767</v>
      </c>
      <c r="P36" s="65">
        <v>18407</v>
      </c>
      <c r="Q36" s="65">
        <f>18407/0.585274</f>
        <v>31450.226731411272</v>
      </c>
      <c r="R36" s="65">
        <v>26764</v>
      </c>
      <c r="S36" s="227">
        <f t="shared" si="0"/>
        <v>45729.00897699198</v>
      </c>
    </row>
    <row r="37" spans="2:19" ht="16.5">
      <c r="B37" s="133" t="s">
        <v>20</v>
      </c>
      <c r="C37" s="160">
        <v>155726</v>
      </c>
      <c r="D37" s="146">
        <f>+S37</f>
        <v>467276.8651947635</v>
      </c>
      <c r="E37" s="162">
        <v>481999</v>
      </c>
      <c r="F37" s="176">
        <f t="shared" si="10"/>
        <v>3.150623517194731</v>
      </c>
      <c r="G37" s="149">
        <v>502800</v>
      </c>
      <c r="H37" s="150">
        <f t="shared" si="2"/>
        <v>3.2459274198233983</v>
      </c>
      <c r="I37" s="229">
        <v>502800</v>
      </c>
      <c r="J37" s="151" t="e">
        <f t="shared" si="11"/>
        <v>#DIV/0!</v>
      </c>
      <c r="K37" s="152">
        <f t="shared" si="12"/>
        <v>0</v>
      </c>
      <c r="L37" s="177">
        <v>382000</v>
      </c>
      <c r="M37" s="154">
        <f t="shared" si="13"/>
        <v>-24.025457438345267</v>
      </c>
      <c r="N37" s="155">
        <f t="shared" si="14"/>
        <v>2.9693147190135356</v>
      </c>
      <c r="P37" s="65">
        <v>253632</v>
      </c>
      <c r="Q37" s="65">
        <f>253632/0.585274</f>
        <v>433356.0007791223</v>
      </c>
      <c r="R37" s="65">
        <v>273485</v>
      </c>
      <c r="S37" s="227">
        <f t="shared" si="0"/>
        <v>467276.8651947635</v>
      </c>
    </row>
    <row r="38" spans="2:19" ht="16.5">
      <c r="B38" s="133" t="s">
        <v>21</v>
      </c>
      <c r="C38" s="179">
        <v>146560</v>
      </c>
      <c r="D38" s="146">
        <f>+S38</f>
        <v>577985.6955887328</v>
      </c>
      <c r="E38" s="181">
        <f>522894+75530+17959</f>
        <v>616383</v>
      </c>
      <c r="F38" s="176">
        <f t="shared" si="10"/>
        <v>6.643296660163173</v>
      </c>
      <c r="G38" s="149">
        <v>1872400</v>
      </c>
      <c r="H38" s="150">
        <f t="shared" si="2"/>
        <v>12.087658116303361</v>
      </c>
      <c r="I38" s="229">
        <f>+G38*1.095</f>
        <v>2050278</v>
      </c>
      <c r="J38" s="151" t="e">
        <f t="shared" si="11"/>
        <v>#DIV/0!</v>
      </c>
      <c r="K38" s="152">
        <f t="shared" si="12"/>
        <v>9.499999999999996</v>
      </c>
      <c r="L38" s="177">
        <v>492460</v>
      </c>
      <c r="M38" s="154">
        <f t="shared" si="13"/>
        <v>-73.69899594103823</v>
      </c>
      <c r="N38" s="155">
        <f t="shared" si="14"/>
        <v>12.108036283750263</v>
      </c>
      <c r="P38" s="59">
        <f>282544+1953+12155</f>
        <v>296652</v>
      </c>
      <c r="Q38" s="59">
        <f>(282544+1953+12155)/0.585274</f>
        <v>506860.03478712536</v>
      </c>
      <c r="R38" s="59">
        <f>290176+35525+12579</f>
        <v>338280</v>
      </c>
      <c r="S38" s="227">
        <f t="shared" si="0"/>
        <v>577985.6955887328</v>
      </c>
    </row>
    <row r="39" spans="1:19" ht="16.5">
      <c r="A39" s="93" t="s">
        <v>41</v>
      </c>
      <c r="B39" s="133" t="s">
        <v>24</v>
      </c>
      <c r="C39" s="179">
        <v>56713</v>
      </c>
      <c r="D39" s="146">
        <f>+S39</f>
        <v>203962.58846283963</v>
      </c>
      <c r="E39" s="181">
        <f>1098+31001+166915</f>
        <v>199014</v>
      </c>
      <c r="F39" s="176">
        <f t="shared" si="10"/>
        <v>-2.4262236031296567</v>
      </c>
      <c r="G39" s="149">
        <f>197220/0.585274</f>
        <v>336970.3762682094</v>
      </c>
      <c r="H39" s="150">
        <f t="shared" si="2"/>
        <v>2.1753806364303667</v>
      </c>
      <c r="I39" s="229">
        <v>338640</v>
      </c>
      <c r="J39" s="151" t="e">
        <f t="shared" si="11"/>
        <v>#DIV/0!</v>
      </c>
      <c r="K39" s="152">
        <f t="shared" si="12"/>
        <v>0.495480864009723</v>
      </c>
      <c r="L39" s="177">
        <v>160000</v>
      </c>
      <c r="M39" s="154">
        <f t="shared" si="13"/>
        <v>-52.51808133049387</v>
      </c>
      <c r="N39" s="155">
        <f t="shared" si="14"/>
        <v>1.9998582666005242</v>
      </c>
      <c r="P39" s="59">
        <f>102+26916+77435</f>
        <v>104453</v>
      </c>
      <c r="Q39" s="59">
        <f>(102+26916+77435)/0.585274</f>
        <v>178468.54635606572</v>
      </c>
      <c r="R39" s="59">
        <f>208+30616+88550</f>
        <v>119374</v>
      </c>
      <c r="S39" s="227">
        <f t="shared" si="0"/>
        <v>203962.58846283963</v>
      </c>
    </row>
    <row r="40" spans="1:19" ht="16.5">
      <c r="A40" s="183" t="s">
        <v>42</v>
      </c>
      <c r="B40" s="133" t="s">
        <v>25</v>
      </c>
      <c r="C40" s="179">
        <v>12501</v>
      </c>
      <c r="D40" s="146">
        <f>+S40</f>
        <v>39256.82671705902</v>
      </c>
      <c r="E40" s="181">
        <v>33299</v>
      </c>
      <c r="F40" s="176">
        <f t="shared" si="10"/>
        <v>-15.176536707869076</v>
      </c>
      <c r="G40" s="149">
        <v>52301.99872196613</v>
      </c>
      <c r="H40" s="150">
        <f t="shared" si="2"/>
        <v>0.337646165002383</v>
      </c>
      <c r="I40" s="229">
        <f>+G40*1.02</f>
        <v>53348.03869640545</v>
      </c>
      <c r="J40" s="151" t="e">
        <f t="shared" si="11"/>
        <v>#DIV/0!</v>
      </c>
      <c r="K40" s="152">
        <f t="shared" si="12"/>
        <v>2.0000000000000018</v>
      </c>
      <c r="L40" s="177">
        <v>19720</v>
      </c>
      <c r="M40" s="154">
        <f t="shared" si="13"/>
        <v>-62.2958959851034</v>
      </c>
      <c r="N40" s="155">
        <f t="shared" si="14"/>
        <v>0.31504995332486146</v>
      </c>
      <c r="P40" s="59">
        <v>20619</v>
      </c>
      <c r="Q40" s="59">
        <f>20619/0.585274</f>
        <v>35229.653119735376</v>
      </c>
      <c r="R40" s="59">
        <v>22976</v>
      </c>
      <c r="S40" s="227">
        <f t="shared" si="0"/>
        <v>39256.82671705902</v>
      </c>
    </row>
    <row r="41" spans="1:19" ht="16.5">
      <c r="A41" s="93" t="s">
        <v>44</v>
      </c>
      <c r="B41" s="133" t="s">
        <v>26</v>
      </c>
      <c r="C41" s="184">
        <v>140242</v>
      </c>
      <c r="D41" s="146">
        <f>(173570+282615+163790)/0.585274-D39-D40</f>
        <v>816070.7634372961</v>
      </c>
      <c r="E41" s="181">
        <f>342204+548309+364551-E39-E40</f>
        <v>1022751</v>
      </c>
      <c r="F41" s="176">
        <f t="shared" si="10"/>
        <v>25.326264072023008</v>
      </c>
      <c r="G41" s="149">
        <f>6798200-6467572</f>
        <v>330628</v>
      </c>
      <c r="H41" s="150">
        <f t="shared" si="2"/>
        <v>2.134436139541309</v>
      </c>
      <c r="I41" s="230">
        <f>+G41*1.28</f>
        <v>423203.84</v>
      </c>
      <c r="J41" s="151" t="e">
        <f t="shared" si="11"/>
        <v>#DIV/0!</v>
      </c>
      <c r="K41" s="152">
        <f t="shared" si="12"/>
        <v>28.000000000000004</v>
      </c>
      <c r="L41" s="177">
        <f>857820-L39</f>
        <v>697820</v>
      </c>
      <c r="M41" s="154">
        <f t="shared" si="13"/>
        <v>111.05895447451518</v>
      </c>
      <c r="N41" s="155">
        <f t="shared" si="14"/>
        <v>2.499254954763423</v>
      </c>
      <c r="P41" s="59">
        <v>432017</v>
      </c>
      <c r="Q41" s="59">
        <f>(156403+254784+145902)/0.585274-Q39-Q40</f>
        <v>738144.8688990113</v>
      </c>
      <c r="R41" s="59">
        <f>173570+282615+163790-R39-R40</f>
        <v>477625</v>
      </c>
      <c r="S41" s="227">
        <f t="shared" si="0"/>
        <v>816070.7634372961</v>
      </c>
    </row>
    <row r="42" spans="1:19" ht="16.5">
      <c r="A42" s="183" t="s">
        <v>53</v>
      </c>
      <c r="B42" s="166" t="s">
        <v>27</v>
      </c>
      <c r="C42" s="184">
        <v>64370</v>
      </c>
      <c r="D42" s="146">
        <f>+S42</f>
        <v>52638.593205917234</v>
      </c>
      <c r="E42" s="181">
        <f>10602+26274</f>
        <v>36876</v>
      </c>
      <c r="F42" s="176">
        <f t="shared" si="10"/>
        <v>-29.944936302259165</v>
      </c>
      <c r="G42" s="149">
        <v>0</v>
      </c>
      <c r="H42" s="150">
        <f t="shared" si="2"/>
        <v>0</v>
      </c>
      <c r="I42" s="229">
        <v>0</v>
      </c>
      <c r="J42" s="151" t="e">
        <f t="shared" si="11"/>
        <v>#DIV/0!</v>
      </c>
      <c r="K42" s="152" t="e">
        <f t="shared" si="12"/>
        <v>#DIV/0!</v>
      </c>
      <c r="L42" s="177">
        <v>65000</v>
      </c>
      <c r="M42" s="154" t="e">
        <f t="shared" si="13"/>
        <v>#DIV/0!</v>
      </c>
      <c r="N42" s="155">
        <f t="shared" si="14"/>
        <v>0</v>
      </c>
      <c r="P42" s="59">
        <f>20908+6037</f>
        <v>26945</v>
      </c>
      <c r="Q42" s="59">
        <f>(20908+6037)/0.585274</f>
        <v>46038.26583788107</v>
      </c>
      <c r="R42" s="59">
        <f>23588+7220</f>
        <v>30808</v>
      </c>
      <c r="S42" s="227">
        <f t="shared" si="0"/>
        <v>52638.593205917234</v>
      </c>
    </row>
    <row r="43" spans="2:19" ht="16.5">
      <c r="B43" s="144" t="s">
        <v>35</v>
      </c>
      <c r="C43" s="185">
        <f>+C44+C45</f>
        <v>70847</v>
      </c>
      <c r="D43" s="186">
        <f>+D44+D45</f>
        <v>144332.38999511342</v>
      </c>
      <c r="E43" s="187">
        <f>+E44+E45</f>
        <v>163631</v>
      </c>
      <c r="F43" s="174">
        <f t="shared" si="10"/>
        <v>13.370948825513082</v>
      </c>
      <c r="G43" s="149">
        <f>+G44+G45</f>
        <v>592900</v>
      </c>
      <c r="H43" s="150">
        <f t="shared" si="2"/>
        <v>3.8275862514186403</v>
      </c>
      <c r="I43" s="187">
        <f>+I44+I45</f>
        <v>667537</v>
      </c>
      <c r="J43" s="151" t="e">
        <f t="shared" si="11"/>
        <v>#DIV/0!</v>
      </c>
      <c r="K43" s="152">
        <f t="shared" si="12"/>
        <v>12.588463484567392</v>
      </c>
      <c r="L43" s="153">
        <f>+L44+L45</f>
        <v>220760</v>
      </c>
      <c r="M43" s="154">
        <f t="shared" si="13"/>
        <v>-62.76606510372744</v>
      </c>
      <c r="N43" s="155">
        <f t="shared" si="14"/>
        <v>3.9421786785722723</v>
      </c>
      <c r="P43" s="60">
        <f>+P44+P45</f>
        <v>74827</v>
      </c>
      <c r="Q43" s="60">
        <f>+Q44+Q45</f>
        <v>127849.52005385513</v>
      </c>
      <c r="R43" s="60">
        <f>+R44+R45</f>
        <v>84473</v>
      </c>
      <c r="S43" s="227">
        <f t="shared" si="0"/>
        <v>144330.6895573697</v>
      </c>
    </row>
    <row r="44" spans="1:19" ht="16.5">
      <c r="A44" s="173" t="s">
        <v>72</v>
      </c>
      <c r="B44" s="133" t="s">
        <v>28</v>
      </c>
      <c r="C44" s="184">
        <v>53202</v>
      </c>
      <c r="D44" s="146">
        <f>91437/0.585274-113-1991-16-24-106-1315-679-4366-2906-381</f>
        <v>144332.38999511342</v>
      </c>
      <c r="E44" s="181">
        <f>178113-24-221-59-33-2804-754-1183-5819-3500-85</f>
        <v>163631</v>
      </c>
      <c r="F44" s="176">
        <f t="shared" si="10"/>
        <v>13.370948825513082</v>
      </c>
      <c r="G44" s="149">
        <v>476600</v>
      </c>
      <c r="H44" s="150">
        <f t="shared" si="2"/>
        <v>3.076788003754637</v>
      </c>
      <c r="I44" s="231">
        <f>+G44*1.12</f>
        <v>533792</v>
      </c>
      <c r="J44" s="151" t="e">
        <f t="shared" si="11"/>
        <v>#DIV/0!</v>
      </c>
      <c r="K44" s="152">
        <f t="shared" si="12"/>
        <v>12.00000000000001</v>
      </c>
      <c r="L44" s="177">
        <v>220760</v>
      </c>
      <c r="M44" s="154">
        <f t="shared" si="13"/>
        <v>-53.6802349979018</v>
      </c>
      <c r="N44" s="155">
        <f t="shared" si="14"/>
        <v>3.15233978220301</v>
      </c>
      <c r="P44" s="59">
        <f>80307-66-733-9-14-62-770-239-2329-1197-61</f>
        <v>74827</v>
      </c>
      <c r="Q44" s="59">
        <f>(80307-66-733-9-14-62-770-239-2329-1197-61)/0.585274</f>
        <v>127849.52005385513</v>
      </c>
      <c r="R44" s="59">
        <f>91437-66-1165-9-14-62-770-398-2556-1701-223</f>
        <v>84473</v>
      </c>
      <c r="S44" s="227">
        <f t="shared" si="0"/>
        <v>144330.6895573697</v>
      </c>
    </row>
    <row r="45" spans="2:19" ht="16.5">
      <c r="B45" s="133" t="s">
        <v>29</v>
      </c>
      <c r="C45" s="184">
        <f>11749+5896</f>
        <v>17645</v>
      </c>
      <c r="D45" s="180">
        <v>0</v>
      </c>
      <c r="E45" s="181">
        <v>0</v>
      </c>
      <c r="F45" s="176">
        <v>0</v>
      </c>
      <c r="G45" s="149">
        <v>116300</v>
      </c>
      <c r="H45" s="150">
        <f t="shared" si="2"/>
        <v>0.7507982476640039</v>
      </c>
      <c r="I45" s="231">
        <f>G45*1.15</f>
        <v>133745</v>
      </c>
      <c r="J45" s="151" t="e">
        <f t="shared" si="11"/>
        <v>#DIV/0!</v>
      </c>
      <c r="K45" s="152">
        <f t="shared" si="12"/>
        <v>14.999999999999991</v>
      </c>
      <c r="L45" s="177">
        <v>0</v>
      </c>
      <c r="M45" s="189">
        <v>0</v>
      </c>
      <c r="N45" s="155">
        <f t="shared" si="14"/>
        <v>0.7898388963692626</v>
      </c>
      <c r="P45" s="59">
        <v>0</v>
      </c>
      <c r="Q45" s="59">
        <v>0</v>
      </c>
      <c r="R45" s="59">
        <v>0</v>
      </c>
      <c r="S45" s="227">
        <f t="shared" si="0"/>
        <v>0</v>
      </c>
    </row>
    <row r="46" spans="2:19" ht="16.5">
      <c r="B46" s="144" t="s">
        <v>30</v>
      </c>
      <c r="C46" s="185">
        <v>7642</v>
      </c>
      <c r="D46" s="186">
        <v>0</v>
      </c>
      <c r="E46" s="187">
        <v>0</v>
      </c>
      <c r="F46" s="174"/>
      <c r="G46" s="149">
        <v>0</v>
      </c>
      <c r="H46" s="150">
        <f t="shared" si="2"/>
        <v>0</v>
      </c>
      <c r="I46" s="187">
        <v>0</v>
      </c>
      <c r="J46" s="175"/>
      <c r="K46" s="188"/>
      <c r="L46" s="158"/>
      <c r="M46" s="158"/>
      <c r="N46" s="155">
        <f t="shared" si="14"/>
        <v>0</v>
      </c>
      <c r="P46" s="60">
        <v>0</v>
      </c>
      <c r="Q46" s="60">
        <v>0</v>
      </c>
      <c r="R46" s="60">
        <v>0</v>
      </c>
      <c r="S46" s="227">
        <f t="shared" si="0"/>
        <v>0</v>
      </c>
    </row>
    <row r="47" spans="2:19" ht="16.5">
      <c r="B47" s="166"/>
      <c r="C47" s="184"/>
      <c r="D47" s="168"/>
      <c r="E47" s="169"/>
      <c r="F47" s="167"/>
      <c r="G47" s="149"/>
      <c r="H47" s="150"/>
      <c r="I47" s="169"/>
      <c r="J47" s="190"/>
      <c r="K47" s="172"/>
      <c r="L47" s="158"/>
      <c r="M47" s="158"/>
      <c r="N47" s="155"/>
      <c r="P47" s="67"/>
      <c r="Q47" s="67"/>
      <c r="R47" s="67"/>
      <c r="S47" s="227">
        <f t="shared" si="0"/>
        <v>0</v>
      </c>
    </row>
    <row r="48" spans="2:19" ht="16.5">
      <c r="B48" s="144" t="s">
        <v>31</v>
      </c>
      <c r="C48" s="185">
        <f>+C12+C28-C33</f>
        <v>-22531</v>
      </c>
      <c r="D48" s="186">
        <f>+D12+D28-D33</f>
        <v>526020.5009892792</v>
      </c>
      <c r="E48" s="187">
        <f>+E12+E28-E33</f>
        <v>512671</v>
      </c>
      <c r="F48" s="174"/>
      <c r="G48" s="149">
        <f>+G12+G28-G33</f>
        <v>1086899.4058270138</v>
      </c>
      <c r="H48" s="150">
        <f t="shared" si="2"/>
        <v>7.016699649887954</v>
      </c>
      <c r="I48" s="187">
        <f>+I12+I28-I33</f>
        <v>769012.3743333835</v>
      </c>
      <c r="J48" s="151" t="e">
        <f>+I48/1000/$K$57*100</f>
        <v>#DIV/0!</v>
      </c>
      <c r="K48" s="152">
        <f>(+I48/G48-1)*100</f>
        <v>-29.247143736522</v>
      </c>
      <c r="L48" s="153">
        <f>+L12+L28-L33</f>
        <v>24210</v>
      </c>
      <c r="M48" s="158"/>
      <c r="N48" s="155">
        <f>+I48/1000/$I$57*100</f>
        <v>4.541447418877611</v>
      </c>
      <c r="P48" s="60">
        <f>+P12+P28-P33</f>
        <v>225982</v>
      </c>
      <c r="Q48" s="60">
        <f>+Q12+Q28-Q33</f>
        <v>386113.170925071</v>
      </c>
      <c r="R48" s="60">
        <f>+R12+R28-R33</f>
        <v>307865</v>
      </c>
      <c r="S48" s="227">
        <f t="shared" si="0"/>
        <v>526018.5827492764</v>
      </c>
    </row>
    <row r="49" spans="2:19" ht="16.5">
      <c r="B49" s="144"/>
      <c r="C49" s="191"/>
      <c r="D49" s="192"/>
      <c r="E49" s="193"/>
      <c r="F49" s="167"/>
      <c r="G49" s="149"/>
      <c r="H49" s="150"/>
      <c r="I49" s="193"/>
      <c r="J49" s="194"/>
      <c r="K49" s="172"/>
      <c r="L49" s="195"/>
      <c r="M49" s="158"/>
      <c r="N49" s="155"/>
      <c r="P49" s="68"/>
      <c r="Q49" s="68"/>
      <c r="R49" s="68"/>
      <c r="S49" s="227">
        <f t="shared" si="0"/>
        <v>0</v>
      </c>
    </row>
    <row r="50" spans="2:19" ht="16.5">
      <c r="B50" s="144" t="s">
        <v>32</v>
      </c>
      <c r="C50" s="185">
        <f>+C9-C30</f>
        <v>-100665</v>
      </c>
      <c r="D50" s="186">
        <f>+D9-D30</f>
        <v>381688.11099416576</v>
      </c>
      <c r="E50" s="187">
        <f>+E9-E30</f>
        <v>349040</v>
      </c>
      <c r="F50" s="167"/>
      <c r="G50" s="149">
        <f>+G9-G30</f>
        <v>505499.4058270138</v>
      </c>
      <c r="H50" s="150">
        <f t="shared" si="2"/>
        <v>3.2633539818582724</v>
      </c>
      <c r="I50" s="187">
        <f>+I9-I30</f>
        <v>101475.37433338352</v>
      </c>
      <c r="J50" s="151" t="e">
        <f>+I50/1000/$K$57*100</f>
        <v>#DIV/0!</v>
      </c>
      <c r="K50" s="172"/>
      <c r="L50" s="153" t="e">
        <f>+L9-L30</f>
        <v>#DIV/0!</v>
      </c>
      <c r="M50" s="158"/>
      <c r="N50" s="155">
        <f>+I50/1000/$I$57*100</f>
        <v>0.599268740305338</v>
      </c>
      <c r="P50" s="60">
        <f>+P9-P30</f>
        <v>151155</v>
      </c>
      <c r="Q50" s="60">
        <f>+Q9-Q30</f>
        <v>258263.65087121585</v>
      </c>
      <c r="R50" s="60">
        <f>+R9-R30</f>
        <v>223392</v>
      </c>
      <c r="S50" s="227">
        <f t="shared" si="0"/>
        <v>381687.89319190674</v>
      </c>
    </row>
    <row r="51" spans="2:19" ht="16.5">
      <c r="B51" s="144" t="s">
        <v>22</v>
      </c>
      <c r="C51" s="196">
        <f>+C50/1000/C57*100</f>
        <v>-1.6339068333062816</v>
      </c>
      <c r="D51" s="197">
        <f>+D50/1000/D57*100</f>
        <v>2.4640618648833827</v>
      </c>
      <c r="E51" s="198">
        <f>+E50/1000/E57*100</f>
        <v>2.0612760730399455</v>
      </c>
      <c r="F51" s="196"/>
      <c r="G51" s="199">
        <f>+G50/1000/G57*100</f>
        <v>3.2633539818582724</v>
      </c>
      <c r="H51" s="200"/>
      <c r="I51" s="198">
        <f>+I50/1000/I57*100</f>
        <v>0.599268740305338</v>
      </c>
      <c r="J51" s="151"/>
      <c r="K51" s="172"/>
      <c r="L51" s="154" t="e">
        <f>+L50/1000/M57*100</f>
        <v>#DIV/0!</v>
      </c>
      <c r="M51" s="158"/>
      <c r="N51" s="143"/>
      <c r="P51" s="69" t="e">
        <f>+P50/1000/P57*100</f>
        <v>#DIV/0!</v>
      </c>
      <c r="Q51" s="69" t="e">
        <f>+Q50/1000/Q57*100</f>
        <v>#DIV/0!</v>
      </c>
      <c r="R51" s="69">
        <f>+R50/1000/R57*100</f>
        <v>1.4421523829936127</v>
      </c>
      <c r="S51" s="232">
        <f t="shared" si="0"/>
        <v>2.4640636402669736</v>
      </c>
    </row>
    <row r="52" spans="2:19" ht="16.5">
      <c r="B52" s="144"/>
      <c r="C52" s="191"/>
      <c r="D52" s="201"/>
      <c r="E52" s="202"/>
      <c r="F52" s="167"/>
      <c r="G52" s="149"/>
      <c r="H52" s="203"/>
      <c r="I52" s="202"/>
      <c r="J52" s="190"/>
      <c r="K52" s="172"/>
      <c r="L52" s="157"/>
      <c r="M52" s="158"/>
      <c r="N52" s="143"/>
      <c r="P52" s="70"/>
      <c r="Q52" s="70"/>
      <c r="R52" s="70"/>
      <c r="S52" s="227">
        <f t="shared" si="0"/>
        <v>0</v>
      </c>
    </row>
    <row r="53" spans="2:19" ht="16.5">
      <c r="B53" s="144" t="s">
        <v>33</v>
      </c>
      <c r="C53" s="204">
        <f>+C50+C37</f>
        <v>55061</v>
      </c>
      <c r="D53" s="192">
        <f>+D50+D37</f>
        <v>848964.9761889293</v>
      </c>
      <c r="E53" s="193">
        <f>+E50+E37</f>
        <v>831039</v>
      </c>
      <c r="F53" s="167"/>
      <c r="G53" s="149">
        <v>1051058.1368726443</v>
      </c>
      <c r="H53" s="205"/>
      <c r="I53" s="193">
        <f>+I50+I37</f>
        <v>604275.3743333835</v>
      </c>
      <c r="J53" s="206"/>
      <c r="K53" s="172"/>
      <c r="L53" s="195" t="e">
        <f>+L50+L37</f>
        <v>#DIV/0!</v>
      </c>
      <c r="M53" s="158"/>
      <c r="N53" s="143"/>
      <c r="P53" s="68">
        <f>+P50+P37</f>
        <v>404787</v>
      </c>
      <c r="Q53" s="68">
        <f>+Q50+Q37</f>
        <v>691619.6516503382</v>
      </c>
      <c r="R53" s="68">
        <f>+R50+R37</f>
        <v>496877</v>
      </c>
      <c r="S53" s="227">
        <f t="shared" si="0"/>
        <v>848964.7583866703</v>
      </c>
    </row>
    <row r="54" spans="2:18" ht="17.25" thickBot="1">
      <c r="B54" s="207"/>
      <c r="C54" s="171"/>
      <c r="D54" s="208"/>
      <c r="E54" s="209"/>
      <c r="F54" s="171"/>
      <c r="G54" s="210"/>
      <c r="H54" s="211"/>
      <c r="I54" s="212"/>
      <c r="J54" s="213"/>
      <c r="K54" s="214"/>
      <c r="L54" s="215"/>
      <c r="M54" s="215"/>
      <c r="N54" s="216"/>
      <c r="R54" s="61"/>
    </row>
    <row r="55" spans="2:11" ht="17.25" thickTop="1">
      <c r="B55" s="217"/>
      <c r="C55" s="218"/>
      <c r="D55" s="217"/>
      <c r="E55" s="217"/>
      <c r="F55" s="217"/>
      <c r="G55" s="217"/>
      <c r="H55" s="219"/>
      <c r="I55" s="217"/>
      <c r="J55" s="217"/>
      <c r="K55" s="219"/>
    </row>
    <row r="56" spans="2:4" ht="16.5">
      <c r="B56" s="220" t="s">
        <v>40</v>
      </c>
      <c r="D56" s="221"/>
    </row>
    <row r="57" spans="2:18" ht="16.5">
      <c r="B57" s="220" t="s">
        <v>62</v>
      </c>
      <c r="C57" s="222">
        <v>6161</v>
      </c>
      <c r="D57" s="223">
        <v>15490.2</v>
      </c>
      <c r="E57" s="223">
        <v>16933.2</v>
      </c>
      <c r="F57" s="223"/>
      <c r="G57" s="223">
        <v>15490.18</v>
      </c>
      <c r="H57" s="224"/>
      <c r="I57" s="223">
        <v>16933.2</v>
      </c>
      <c r="J57" s="225">
        <v>8260.3</v>
      </c>
      <c r="K57" s="226"/>
      <c r="L57" s="226"/>
      <c r="M57" s="226"/>
      <c r="N57" s="224"/>
      <c r="R57" s="223">
        <v>15490.18</v>
      </c>
    </row>
    <row r="58" ht="16.5">
      <c r="B58" s="99"/>
    </row>
    <row r="59" ht="16.5">
      <c r="B59" s="220"/>
    </row>
    <row r="61" ht="18" customHeight="1">
      <c r="B61" s="222"/>
    </row>
    <row r="62" ht="18" customHeight="1"/>
    <row r="63" ht="18" customHeight="1"/>
    <row r="64" ht="18" customHeight="1"/>
    <row r="65" ht="18" customHeight="1"/>
  </sheetData>
  <mergeCells count="2">
    <mergeCell ref="B1:N1"/>
    <mergeCell ref="I3:N3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73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1"/>
  <sheetViews>
    <sheetView tabSelected="1" zoomScale="75" zoomScaleNormal="75" workbookViewId="0" topLeftCell="A1">
      <selection activeCell="V12" sqref="V12"/>
    </sheetView>
  </sheetViews>
  <sheetFormatPr defaultColWidth="9.140625" defaultRowHeight="12.75"/>
  <cols>
    <col min="1" max="1" width="8.8515625" style="233" customWidth="1"/>
    <col min="2" max="2" width="35.00390625" style="233" customWidth="1"/>
    <col min="3" max="3" width="0.9921875" style="233" hidden="1" customWidth="1"/>
    <col min="4" max="5" width="12.8515625" style="233" bestFit="1" customWidth="1"/>
    <col min="6" max="6" width="11.7109375" style="233" customWidth="1"/>
    <col min="7" max="7" width="14.00390625" style="233" bestFit="1" customWidth="1"/>
    <col min="8" max="8" width="12.140625" style="239" customWidth="1"/>
    <col min="9" max="9" width="12.421875" style="233" customWidth="1"/>
    <col min="10" max="10" width="9.140625" style="233" hidden="1" customWidth="1"/>
    <col min="11" max="11" width="12.00390625" style="239" customWidth="1"/>
    <col min="12" max="12" width="14.7109375" style="239" hidden="1" customWidth="1"/>
    <col min="13" max="13" width="9.421875" style="239" hidden="1" customWidth="1"/>
    <col min="14" max="14" width="12.140625" style="240" customWidth="1"/>
    <col min="15" max="15" width="5.421875" style="233" customWidth="1"/>
    <col min="16" max="16" width="12.57421875" style="234" hidden="1" customWidth="1"/>
    <col min="17" max="18" width="12.140625" style="233" hidden="1" customWidth="1"/>
    <col min="19" max="19" width="10.421875" style="233" hidden="1" customWidth="1"/>
    <col min="20" max="16384" width="8.8515625" style="233" customWidth="1"/>
  </cols>
  <sheetData>
    <row r="1" spans="2:14" ht="19.5">
      <c r="B1" s="364" t="s">
        <v>63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</row>
    <row r="2" spans="2:11" ht="17.25" thickBot="1">
      <c r="B2" s="235"/>
      <c r="C2" s="236"/>
      <c r="D2" s="237"/>
      <c r="E2" s="237"/>
      <c r="F2" s="237"/>
      <c r="G2" s="237"/>
      <c r="H2" s="238"/>
      <c r="I2" s="237"/>
      <c r="J2" s="237"/>
      <c r="K2" s="238"/>
    </row>
    <row r="3" spans="2:14" ht="15.75" thickBot="1">
      <c r="B3" s="241"/>
      <c r="C3" s="242"/>
      <c r="D3" s="241"/>
      <c r="E3" s="243"/>
      <c r="F3" s="244"/>
      <c r="G3" s="241"/>
      <c r="H3" s="245"/>
      <c r="I3" s="365" t="s">
        <v>66</v>
      </c>
      <c r="J3" s="366"/>
      <c r="K3" s="366"/>
      <c r="L3" s="366"/>
      <c r="M3" s="366"/>
      <c r="N3" s="367"/>
    </row>
    <row r="4" spans="2:14" ht="16.5">
      <c r="B4" s="246"/>
      <c r="C4" s="247"/>
      <c r="D4" s="248" t="s">
        <v>75</v>
      </c>
      <c r="E4" s="249" t="s">
        <v>75</v>
      </c>
      <c r="F4" s="250" t="s">
        <v>16</v>
      </c>
      <c r="G4" s="248" t="s">
        <v>48</v>
      </c>
      <c r="H4" s="251">
        <v>2007</v>
      </c>
      <c r="I4" s="252">
        <v>2008</v>
      </c>
      <c r="J4" s="253" t="s">
        <v>46</v>
      </c>
      <c r="K4" s="254" t="s">
        <v>43</v>
      </c>
      <c r="L4" s="255" t="s">
        <v>45</v>
      </c>
      <c r="M4" s="253" t="s">
        <v>43</v>
      </c>
      <c r="N4" s="251">
        <v>2008</v>
      </c>
    </row>
    <row r="5" spans="2:14" ht="16.5">
      <c r="B5" s="246"/>
      <c r="C5" s="247"/>
      <c r="D5" s="248">
        <v>2007</v>
      </c>
      <c r="E5" s="256">
        <v>2008</v>
      </c>
      <c r="F5" s="253"/>
      <c r="G5" s="248">
        <v>2007</v>
      </c>
      <c r="H5" s="251" t="s">
        <v>57</v>
      </c>
      <c r="I5" s="252"/>
      <c r="J5" s="253" t="s">
        <v>47</v>
      </c>
      <c r="K5" s="254" t="s">
        <v>16</v>
      </c>
      <c r="L5" s="255">
        <v>2006</v>
      </c>
      <c r="M5" s="253" t="s">
        <v>16</v>
      </c>
      <c r="N5" s="251" t="s">
        <v>61</v>
      </c>
    </row>
    <row r="6" spans="2:14" ht="16.5">
      <c r="B6" s="246"/>
      <c r="C6" s="247">
        <v>2002</v>
      </c>
      <c r="D6" s="248" t="s">
        <v>64</v>
      </c>
      <c r="E6" s="256" t="s">
        <v>64</v>
      </c>
      <c r="F6" s="247" t="s">
        <v>59</v>
      </c>
      <c r="G6" s="257" t="s">
        <v>64</v>
      </c>
      <c r="H6" s="251" t="s">
        <v>55</v>
      </c>
      <c r="I6" s="256" t="s">
        <v>64</v>
      </c>
      <c r="J6" s="253">
        <v>2003</v>
      </c>
      <c r="K6" s="254" t="s">
        <v>60</v>
      </c>
      <c r="L6" s="255"/>
      <c r="M6" s="253" t="s">
        <v>52</v>
      </c>
      <c r="N6" s="251" t="s">
        <v>55</v>
      </c>
    </row>
    <row r="7" spans="2:14" ht="17.25" thickBot="1">
      <c r="B7" s="258"/>
      <c r="C7" s="259"/>
      <c r="D7" s="260"/>
      <c r="E7" s="261"/>
      <c r="F7" s="262"/>
      <c r="G7" s="263"/>
      <c r="H7" s="264"/>
      <c r="I7" s="265"/>
      <c r="J7" s="263"/>
      <c r="K7" s="266"/>
      <c r="L7" s="267"/>
      <c r="M7" s="268"/>
      <c r="N7" s="269"/>
    </row>
    <row r="8" spans="2:14" ht="16.5">
      <c r="B8" s="270"/>
      <c r="C8" s="236"/>
      <c r="D8" s="271"/>
      <c r="E8" s="272"/>
      <c r="F8" s="273"/>
      <c r="G8" s="274"/>
      <c r="H8" s="275"/>
      <c r="I8" s="276"/>
      <c r="J8" s="277"/>
      <c r="K8" s="278"/>
      <c r="L8" s="279"/>
      <c r="M8" s="279"/>
      <c r="N8" s="280"/>
    </row>
    <row r="9" spans="2:19" ht="16.5">
      <c r="B9" s="281" t="s">
        <v>1</v>
      </c>
      <c r="C9" s="282">
        <f>C11+C28</f>
        <v>915767</v>
      </c>
      <c r="D9" s="283">
        <f>D11+D28</f>
        <v>0</v>
      </c>
      <c r="E9" s="159">
        <f>E11+E28</f>
        <v>4959810</v>
      </c>
      <c r="F9" s="284" t="e">
        <f>(+E9/D9)*100-100</f>
        <v>#DIV/0!</v>
      </c>
      <c r="G9" s="285">
        <f>G11+G28</f>
        <v>7303699.78081719</v>
      </c>
      <c r="H9" s="286">
        <f>+G9/1000/$G$57*100</f>
        <v>46.922057490987754</v>
      </c>
      <c r="I9" s="159">
        <f>I11+I28</f>
        <v>7547962.553029789</v>
      </c>
      <c r="J9" s="287" t="e">
        <f>+I9/1000/$K$57*100</f>
        <v>#DIV/0!</v>
      </c>
      <c r="K9" s="288">
        <f>(+I9/G9-1)*100</f>
        <v>3.344370381353068</v>
      </c>
      <c r="L9" s="289" t="e">
        <f>+L11+L28</f>
        <v>#DIV/0!</v>
      </c>
      <c r="M9" s="290" t="e">
        <f>(L9/G9-1)*100</f>
        <v>#DIV/0!</v>
      </c>
      <c r="N9" s="291">
        <f>+I9/1000/$I$57*100</f>
        <v>44.82029959341937</v>
      </c>
      <c r="P9" s="84">
        <f>P11+P28</f>
        <v>2000394</v>
      </c>
      <c r="Q9" s="84">
        <f>Q11+Q28</f>
        <v>3417876.0717202546</v>
      </c>
      <c r="R9" s="84">
        <f>R11+R28</f>
        <v>2311364</v>
      </c>
      <c r="S9" s="234">
        <f>+R9/0.585274</f>
        <v>3949199.8619450037</v>
      </c>
    </row>
    <row r="10" spans="2:19" ht="16.5">
      <c r="B10" s="281"/>
      <c r="C10" s="282"/>
      <c r="D10" s="283"/>
      <c r="E10" s="159"/>
      <c r="F10" s="284"/>
      <c r="G10" s="285"/>
      <c r="H10" s="286"/>
      <c r="I10" s="159"/>
      <c r="J10" s="292"/>
      <c r="K10" s="288"/>
      <c r="L10" s="293"/>
      <c r="M10" s="294"/>
      <c r="N10" s="291"/>
      <c r="P10" s="84"/>
      <c r="Q10" s="84"/>
      <c r="R10" s="84"/>
      <c r="S10" s="234">
        <f aca="true" t="shared" si="0" ref="S10:S53">+R10/0.585274</f>
        <v>0</v>
      </c>
    </row>
    <row r="11" spans="2:19" ht="16.5">
      <c r="B11" s="281" t="s">
        <v>2</v>
      </c>
      <c r="C11" s="282">
        <f>C12+C27</f>
        <v>915200</v>
      </c>
      <c r="D11" s="283">
        <f>D12+D27</f>
        <v>0</v>
      </c>
      <c r="E11" s="159">
        <f>E12+E27</f>
        <v>4948296</v>
      </c>
      <c r="F11" s="284" t="e">
        <f aca="true" t="shared" si="1" ref="F11:F16">(+E11/D11)*100-100</f>
        <v>#DIV/0!</v>
      </c>
      <c r="G11" s="285">
        <f>G12+G27</f>
        <v>7303699.78081719</v>
      </c>
      <c r="H11" s="286">
        <f aca="true" t="shared" si="2" ref="H11:H50">+G11/1000/$G$57*100</f>
        <v>46.922057490987754</v>
      </c>
      <c r="I11" s="159">
        <f>I12+I27</f>
        <v>7547962.553029789</v>
      </c>
      <c r="J11" s="287" t="e">
        <f>+I11/1000/$K$57*100</f>
        <v>#DIV/0!</v>
      </c>
      <c r="K11" s="288">
        <f aca="true" t="shared" si="3" ref="K11:K16">(+I11/G11-1)*100</f>
        <v>3.344370381353068</v>
      </c>
      <c r="L11" s="289" t="e">
        <f>+L12+L27</f>
        <v>#DIV/0!</v>
      </c>
      <c r="M11" s="290" t="e">
        <f aca="true" t="shared" si="4" ref="M11:M16">(L11/G11-1)*100</f>
        <v>#DIV/0!</v>
      </c>
      <c r="N11" s="291">
        <f aca="true" t="shared" si="5" ref="N11:N23">+I11/1000/$I$57*100</f>
        <v>44.82029959341937</v>
      </c>
      <c r="P11" s="84">
        <f>P12+P27</f>
        <v>1995002</v>
      </c>
      <c r="Q11" s="84">
        <f>Q12+Q27</f>
        <v>3408663.2927483544</v>
      </c>
      <c r="R11" s="84">
        <f>R12+R27</f>
        <v>2305306</v>
      </c>
      <c r="S11" s="234">
        <f t="shared" si="0"/>
        <v>3938849.154413147</v>
      </c>
    </row>
    <row r="12" spans="2:19" ht="16.5">
      <c r="B12" s="281" t="s">
        <v>3</v>
      </c>
      <c r="C12" s="282">
        <f>C13+C26</f>
        <v>914845</v>
      </c>
      <c r="D12" s="283">
        <f>D13+D26</f>
        <v>0</v>
      </c>
      <c r="E12" s="159">
        <f>E13+E26</f>
        <v>4948296</v>
      </c>
      <c r="F12" s="284" t="e">
        <f t="shared" si="1"/>
        <v>#DIV/0!</v>
      </c>
      <c r="G12" s="285">
        <f>G13+G26</f>
        <v>7292199.78081719</v>
      </c>
      <c r="H12" s="286">
        <f t="shared" si="2"/>
        <v>46.84817662548947</v>
      </c>
      <c r="I12" s="159">
        <f>I13+I26</f>
        <v>7547962.553029789</v>
      </c>
      <c r="J12" s="287" t="e">
        <f aca="true" t="shared" si="6" ref="J12:J23">+I12/1000/$K$57*100</f>
        <v>#DIV/0!</v>
      </c>
      <c r="K12" s="288">
        <f t="shared" si="3"/>
        <v>3.507347301227348</v>
      </c>
      <c r="L12" s="289">
        <f>+L13+L26</f>
        <v>2824200</v>
      </c>
      <c r="M12" s="290">
        <f t="shared" si="4"/>
        <v>-61.27094587521695</v>
      </c>
      <c r="N12" s="291">
        <f t="shared" si="5"/>
        <v>44.82029959341937</v>
      </c>
      <c r="P12" s="84">
        <f>P13+P26</f>
        <v>1995002</v>
      </c>
      <c r="Q12" s="84">
        <f>Q13+Q26</f>
        <v>3408663.2927483544</v>
      </c>
      <c r="R12" s="84">
        <f>R13+R26</f>
        <v>2305306</v>
      </c>
      <c r="S12" s="234">
        <f t="shared" si="0"/>
        <v>3938849.154413147</v>
      </c>
    </row>
    <row r="13" spans="2:19" ht="16.5">
      <c r="B13" s="281" t="s">
        <v>4</v>
      </c>
      <c r="C13" s="282">
        <f>C14+C18+C25</f>
        <v>788907</v>
      </c>
      <c r="D13" s="283">
        <f>D14+D18+D25</f>
        <v>0</v>
      </c>
      <c r="E13" s="159">
        <f>E14+E18+E25</f>
        <v>4402607</v>
      </c>
      <c r="F13" s="284" t="e">
        <f t="shared" si="1"/>
        <v>#DIV/0!</v>
      </c>
      <c r="G13" s="285">
        <f>G14+G18+G25</f>
        <v>6537699.78081719</v>
      </c>
      <c r="H13" s="286">
        <f t="shared" si="2"/>
        <v>42.000949406493746</v>
      </c>
      <c r="I13" s="159">
        <f>I14+I18+I25</f>
        <v>6838958.903029788</v>
      </c>
      <c r="J13" s="287" t="e">
        <f t="shared" si="6"/>
        <v>#DIV/0!</v>
      </c>
      <c r="K13" s="288">
        <f t="shared" si="3"/>
        <v>4.608029311724393</v>
      </c>
      <c r="L13" s="289">
        <f>+L14+L18+L25</f>
        <v>2442200</v>
      </c>
      <c r="M13" s="290">
        <f t="shared" si="4"/>
        <v>-62.64435379602682</v>
      </c>
      <c r="N13" s="291">
        <f t="shared" si="5"/>
        <v>40.61018914539229</v>
      </c>
      <c r="P13" s="84">
        <f>P14+P18+P25</f>
        <v>1780205</v>
      </c>
      <c r="Q13" s="84">
        <f>Q14+Q18+Q25</f>
        <v>3041660.8289450756</v>
      </c>
      <c r="R13" s="84">
        <f>R14+R18+R25</f>
        <v>2059452</v>
      </c>
      <c r="S13" s="234">
        <f t="shared" si="0"/>
        <v>3518782.6556450487</v>
      </c>
    </row>
    <row r="14" spans="2:19" ht="16.5">
      <c r="B14" s="281" t="s">
        <v>5</v>
      </c>
      <c r="C14" s="282">
        <f>C15+C16</f>
        <v>267215</v>
      </c>
      <c r="D14" s="283">
        <f>D15+D16</f>
        <v>0</v>
      </c>
      <c r="E14" s="159">
        <f>E15+E16</f>
        <v>1583909</v>
      </c>
      <c r="F14" s="284" t="e">
        <f t="shared" si="1"/>
        <v>#DIV/0!</v>
      </c>
      <c r="G14" s="285">
        <f>G15+G16</f>
        <v>2176000</v>
      </c>
      <c r="H14" s="286">
        <f t="shared" si="2"/>
        <v>13.979544636891605</v>
      </c>
      <c r="I14" s="159">
        <f>I15+I16</f>
        <v>2085297.644</v>
      </c>
      <c r="J14" s="287" t="e">
        <f t="shared" si="6"/>
        <v>#DIV/0!</v>
      </c>
      <c r="K14" s="288">
        <f t="shared" si="3"/>
        <v>-4.168306801470589</v>
      </c>
      <c r="L14" s="289">
        <f>+L15+L16</f>
        <v>798200</v>
      </c>
      <c r="M14" s="290">
        <f t="shared" si="4"/>
        <v>-63.318014705882355</v>
      </c>
      <c r="N14" s="291">
        <f t="shared" si="5"/>
        <v>12.382634981146643</v>
      </c>
      <c r="P14" s="84">
        <f>P15+P16</f>
        <v>628966</v>
      </c>
      <c r="Q14" s="84">
        <f>Q15+Q16</f>
        <v>1074652.214176608</v>
      </c>
      <c r="R14" s="84">
        <f>R15+R16</f>
        <v>783430</v>
      </c>
      <c r="S14" s="234">
        <f t="shared" si="0"/>
        <v>1338569.6272173377</v>
      </c>
    </row>
    <row r="15" spans="2:19" ht="16.5">
      <c r="B15" s="281" t="s">
        <v>6</v>
      </c>
      <c r="C15" s="282">
        <v>191033</v>
      </c>
      <c r="D15" s="295">
        <f>+T15</f>
        <v>0</v>
      </c>
      <c r="E15" s="159">
        <f>1117100+26457</f>
        <v>1143557</v>
      </c>
      <c r="F15" s="284" t="e">
        <f t="shared" si="1"/>
        <v>#DIV/0!</v>
      </c>
      <c r="G15" s="285">
        <v>1680040</v>
      </c>
      <c r="H15" s="286">
        <f t="shared" si="2"/>
        <v>10.793287762758903</v>
      </c>
      <c r="I15" s="159">
        <f>+G15*(0.9221)</f>
        <v>1549164.884</v>
      </c>
      <c r="J15" s="287" t="e">
        <f t="shared" si="6"/>
        <v>#DIV/0!</v>
      </c>
      <c r="K15" s="288">
        <f t="shared" si="3"/>
        <v>-7.789999999999997</v>
      </c>
      <c r="L15" s="289">
        <f>-5000+502900</f>
        <v>497900</v>
      </c>
      <c r="M15" s="290">
        <f t="shared" si="4"/>
        <v>-70.36380086188424</v>
      </c>
      <c r="N15" s="291">
        <f t="shared" si="5"/>
        <v>9.19904328256287</v>
      </c>
      <c r="P15" s="84">
        <f>421485+3855</f>
        <v>425340</v>
      </c>
      <c r="Q15" s="233">
        <f>+P15/0.585274</f>
        <v>726736.5370749427</v>
      </c>
      <c r="R15" s="84">
        <f>551186+5406</f>
        <v>556592</v>
      </c>
      <c r="S15" s="234">
        <f t="shared" si="0"/>
        <v>950993.8934584486</v>
      </c>
    </row>
    <row r="16" spans="2:19" ht="16.5">
      <c r="B16" s="281" t="s">
        <v>7</v>
      </c>
      <c r="C16" s="282">
        <v>76182</v>
      </c>
      <c r="D16" s="295">
        <f>+T16</f>
        <v>0</v>
      </c>
      <c r="E16" s="159">
        <f>70328+76349+293675</f>
        <v>440352</v>
      </c>
      <c r="F16" s="284" t="e">
        <f t="shared" si="1"/>
        <v>#DIV/0!</v>
      </c>
      <c r="G16" s="285">
        <f>2176000-1680040</f>
        <v>495960</v>
      </c>
      <c r="H16" s="286">
        <f t="shared" si="2"/>
        <v>3.186256874132703</v>
      </c>
      <c r="I16" s="159">
        <f>+G16*1.081</f>
        <v>536132.76</v>
      </c>
      <c r="J16" s="287" t="e">
        <f t="shared" si="6"/>
        <v>#DIV/0!</v>
      </c>
      <c r="K16" s="288">
        <f t="shared" si="3"/>
        <v>8.099999999999996</v>
      </c>
      <c r="L16" s="289">
        <f>308300-8000</f>
        <v>300300</v>
      </c>
      <c r="M16" s="290">
        <f t="shared" si="4"/>
        <v>-39.450762158238575</v>
      </c>
      <c r="N16" s="291">
        <f t="shared" si="5"/>
        <v>3.183591698583771</v>
      </c>
      <c r="P16" s="84">
        <f>36981+48640+118005</f>
        <v>203626</v>
      </c>
      <c r="Q16" s="233">
        <f>+P16/0.585274</f>
        <v>347915.67710166523</v>
      </c>
      <c r="R16" s="84">
        <f>41574+51337+133927</f>
        <v>226838</v>
      </c>
      <c r="S16" s="234">
        <f t="shared" si="0"/>
        <v>387575.733758889</v>
      </c>
    </row>
    <row r="17" spans="2:19" ht="16.5">
      <c r="B17" s="270"/>
      <c r="C17" s="296"/>
      <c r="D17" s="297"/>
      <c r="E17" s="178"/>
      <c r="F17" s="298"/>
      <c r="G17" s="285"/>
      <c r="H17" s="286"/>
      <c r="I17" s="159"/>
      <c r="J17" s="299"/>
      <c r="K17" s="300"/>
      <c r="L17" s="294"/>
      <c r="M17" s="294"/>
      <c r="N17" s="291">
        <f t="shared" si="5"/>
        <v>0</v>
      </c>
      <c r="P17" s="85"/>
      <c r="R17" s="85"/>
      <c r="S17" s="234">
        <f t="shared" si="0"/>
        <v>0</v>
      </c>
    </row>
    <row r="18" spans="2:19" ht="16.5">
      <c r="B18" s="281" t="s">
        <v>9</v>
      </c>
      <c r="C18" s="282">
        <f>C19+C20</f>
        <v>371674</v>
      </c>
      <c r="D18" s="283">
        <f>D19+D20</f>
        <v>0</v>
      </c>
      <c r="E18" s="159">
        <f>E19+E20</f>
        <v>2166086</v>
      </c>
      <c r="F18" s="284" t="e">
        <f aca="true" t="shared" si="7" ref="F18:F23">(+E18/D18)*100-100</f>
        <v>#DIV/0!</v>
      </c>
      <c r="G18" s="285">
        <f>G19+G20</f>
        <v>3113899.78081719</v>
      </c>
      <c r="H18" s="286">
        <f t="shared" si="2"/>
        <v>20.005009641884605</v>
      </c>
      <c r="I18" s="159">
        <f>I19+I20</f>
        <v>3415021.419029788</v>
      </c>
      <c r="J18" s="287" t="e">
        <f t="shared" si="6"/>
        <v>#DIV/0!</v>
      </c>
      <c r="K18" s="288">
        <f aca="true" t="shared" si="8" ref="K18:K23">(+I18/G18-1)*100</f>
        <v>9.670241799932743</v>
      </c>
      <c r="L18" s="289">
        <f>+L19+L20</f>
        <v>1207200</v>
      </c>
      <c r="M18" s="290">
        <f aca="true" t="shared" si="9" ref="M18:M23">(L18/G18-1)*100</f>
        <v>-61.23189296467368</v>
      </c>
      <c r="N18" s="291">
        <f t="shared" si="5"/>
        <v>20.278622481694654</v>
      </c>
      <c r="P18" s="84">
        <f>P19+P20</f>
        <v>889811</v>
      </c>
      <c r="Q18" s="84">
        <f>Q19+Q20</f>
        <v>1520332.3571523766</v>
      </c>
      <c r="R18" s="84">
        <f>R19+R20</f>
        <v>999055</v>
      </c>
      <c r="S18" s="234">
        <f t="shared" si="0"/>
        <v>1706986.8130140756</v>
      </c>
    </row>
    <row r="19" spans="2:19" ht="16.5">
      <c r="B19" s="281" t="s">
        <v>10</v>
      </c>
      <c r="C19" s="282">
        <v>36073</v>
      </c>
      <c r="D19" s="295">
        <f>+T19</f>
        <v>0</v>
      </c>
      <c r="E19" s="159">
        <f>41326-47</f>
        <v>41279</v>
      </c>
      <c r="F19" s="284" t="e">
        <f t="shared" si="7"/>
        <v>#DIV/0!</v>
      </c>
      <c r="G19" s="285">
        <v>50220</v>
      </c>
      <c r="H19" s="286">
        <f t="shared" si="2"/>
        <v>0.3226345274194377</v>
      </c>
      <c r="I19" s="159">
        <f>+G19*1.3</f>
        <v>65286</v>
      </c>
      <c r="J19" s="287" t="e">
        <f t="shared" si="6"/>
        <v>#DIV/0!</v>
      </c>
      <c r="K19" s="288">
        <f t="shared" si="8"/>
        <v>30.000000000000004</v>
      </c>
      <c r="L19" s="289">
        <v>26700</v>
      </c>
      <c r="M19" s="290">
        <f t="shared" si="9"/>
        <v>-46.83393070489845</v>
      </c>
      <c r="N19" s="291">
        <f t="shared" si="5"/>
        <v>0.38767257504230873</v>
      </c>
      <c r="P19" s="84">
        <f>2036+16629</f>
        <v>18665</v>
      </c>
      <c r="Q19" s="84">
        <f>(2036+16629)/0.585274</f>
        <v>31891.045903286325</v>
      </c>
      <c r="R19" s="84">
        <f>19152+1950</f>
        <v>21102</v>
      </c>
      <c r="S19" s="234">
        <f t="shared" si="0"/>
        <v>36054.90761592007</v>
      </c>
    </row>
    <row r="20" spans="2:19" ht="16.5">
      <c r="B20" s="281" t="s">
        <v>11</v>
      </c>
      <c r="C20" s="282">
        <v>335601</v>
      </c>
      <c r="D20" s="283">
        <f>SUM(D21:D23)</f>
        <v>0</v>
      </c>
      <c r="E20" s="159">
        <f>SUM(E21:E23)</f>
        <v>2124807</v>
      </c>
      <c r="F20" s="284" t="e">
        <f t="shared" si="7"/>
        <v>#DIV/0!</v>
      </c>
      <c r="G20" s="285">
        <f>SUM(G21:G23)</f>
        <v>3063679.78081719</v>
      </c>
      <c r="H20" s="286">
        <f t="shared" si="2"/>
        <v>19.682375114465167</v>
      </c>
      <c r="I20" s="159">
        <f>SUM(I21:I23)</f>
        <v>3349735.419029788</v>
      </c>
      <c r="J20" s="287" t="e">
        <f t="shared" si="6"/>
        <v>#DIV/0!</v>
      </c>
      <c r="K20" s="288">
        <f t="shared" si="8"/>
        <v>9.33699533494643</v>
      </c>
      <c r="L20" s="289">
        <f>+L21+L22+L23</f>
        <v>1180500</v>
      </c>
      <c r="M20" s="290">
        <f t="shared" si="9"/>
        <v>-61.467905118820234</v>
      </c>
      <c r="N20" s="291">
        <f t="shared" si="5"/>
        <v>19.89094990665235</v>
      </c>
      <c r="P20" s="84">
        <f>SUM(P21:P23)</f>
        <v>871146</v>
      </c>
      <c r="Q20" s="84">
        <f>SUM(Q21:Q23)</f>
        <v>1488441.3112490901</v>
      </c>
      <c r="R20" s="84">
        <f>SUM(R21:R23)</f>
        <v>977953</v>
      </c>
      <c r="S20" s="234">
        <f t="shared" si="0"/>
        <v>1670931.9053981556</v>
      </c>
    </row>
    <row r="21" spans="2:19" ht="16.5">
      <c r="B21" s="281" t="s">
        <v>12</v>
      </c>
      <c r="C21" s="282">
        <v>88941</v>
      </c>
      <c r="D21" s="295">
        <f>+T21</f>
        <v>0</v>
      </c>
      <c r="E21" s="159">
        <f>446238+37165</f>
        <v>483403</v>
      </c>
      <c r="F21" s="284" t="e">
        <f t="shared" si="7"/>
        <v>#DIV/0!</v>
      </c>
      <c r="G21" s="285">
        <v>620261.6210527036</v>
      </c>
      <c r="H21" s="286">
        <f t="shared" si="2"/>
        <v>3.984823078151203</v>
      </c>
      <c r="I21" s="159">
        <f>+G21*1.05</f>
        <v>651274.7021053388</v>
      </c>
      <c r="J21" s="287" t="e">
        <f t="shared" si="6"/>
        <v>#DIV/0!</v>
      </c>
      <c r="K21" s="288">
        <f t="shared" si="8"/>
        <v>5.000000000000004</v>
      </c>
      <c r="L21" s="289">
        <v>347400</v>
      </c>
      <c r="M21" s="290">
        <f t="shared" si="9"/>
        <v>-43.99137586323732</v>
      </c>
      <c r="N21" s="291">
        <f t="shared" si="5"/>
        <v>3.867312146939454</v>
      </c>
      <c r="P21" s="84">
        <f>211928-1122</f>
        <v>210806</v>
      </c>
      <c r="Q21" s="84">
        <f>(211928-1122)/0.585274</f>
        <v>360183.43545074615</v>
      </c>
      <c r="R21" s="84">
        <f>244525-1108</f>
        <v>243417</v>
      </c>
      <c r="S21" s="234">
        <f t="shared" si="0"/>
        <v>415902.6370554647</v>
      </c>
    </row>
    <row r="22" spans="2:19" ht="16.5">
      <c r="B22" s="281" t="s">
        <v>13</v>
      </c>
      <c r="C22" s="282">
        <v>178000</v>
      </c>
      <c r="D22" s="295">
        <f>+T22</f>
        <v>0</v>
      </c>
      <c r="E22" s="159">
        <v>1312600</v>
      </c>
      <c r="F22" s="284" t="e">
        <f t="shared" si="7"/>
        <v>#DIV/0!</v>
      </c>
      <c r="G22" s="285">
        <v>1599531.1597644866</v>
      </c>
      <c r="H22" s="286">
        <f t="shared" si="2"/>
        <v>10.276064910857832</v>
      </c>
      <c r="I22" s="159">
        <f>+G22*1.17</f>
        <v>1871451.4569244492</v>
      </c>
      <c r="J22" s="287" t="e">
        <f t="shared" si="6"/>
        <v>#DIV/0!</v>
      </c>
      <c r="K22" s="288">
        <f t="shared" si="8"/>
        <v>16.999999999999993</v>
      </c>
      <c r="L22" s="289">
        <f>685300-5000</f>
        <v>680300</v>
      </c>
      <c r="M22" s="290">
        <f t="shared" si="9"/>
        <v>-57.46878728513381</v>
      </c>
      <c r="N22" s="291">
        <f t="shared" si="5"/>
        <v>11.112802214449982</v>
      </c>
      <c r="P22" s="86">
        <v>505053</v>
      </c>
      <c r="Q22" s="86">
        <f>505053/0.585274</f>
        <v>862934.2837713618</v>
      </c>
      <c r="R22" s="86">
        <v>562016</v>
      </c>
      <c r="S22" s="234">
        <f t="shared" si="0"/>
        <v>960261.347676473</v>
      </c>
    </row>
    <row r="23" spans="2:19" ht="16.5">
      <c r="B23" s="281" t="s">
        <v>8</v>
      </c>
      <c r="C23" s="282">
        <f>335601-C22</f>
        <v>157601</v>
      </c>
      <c r="D23" s="295">
        <f>+T23</f>
        <v>0</v>
      </c>
      <c r="E23" s="159">
        <v>328804</v>
      </c>
      <c r="F23" s="284" t="e">
        <f t="shared" si="7"/>
        <v>#DIV/0!</v>
      </c>
      <c r="G23" s="285">
        <f>3113900-2270013</f>
        <v>843887</v>
      </c>
      <c r="H23" s="286">
        <f t="shared" si="2"/>
        <v>5.421487125456133</v>
      </c>
      <c r="I23" s="159">
        <f>G23*0.98</f>
        <v>827009.26</v>
      </c>
      <c r="J23" s="287" t="e">
        <f t="shared" si="6"/>
        <v>#DIV/0!</v>
      </c>
      <c r="K23" s="288">
        <f t="shared" si="8"/>
        <v>-2.0000000000000018</v>
      </c>
      <c r="L23" s="289">
        <v>152800</v>
      </c>
      <c r="M23" s="290">
        <f t="shared" si="9"/>
        <v>-81.89331036027335</v>
      </c>
      <c r="N23" s="291">
        <f t="shared" si="5"/>
        <v>4.910835545262908</v>
      </c>
      <c r="P23" s="86">
        <v>155287</v>
      </c>
      <c r="Q23" s="86">
        <f>155287/0.585274</f>
        <v>265323.5920269822</v>
      </c>
      <c r="R23" s="86">
        <v>172520</v>
      </c>
      <c r="S23" s="234">
        <f t="shared" si="0"/>
        <v>294767.9206662179</v>
      </c>
    </row>
    <row r="24" spans="2:19" ht="16.5">
      <c r="B24" s="301"/>
      <c r="C24" s="302"/>
      <c r="D24" s="303"/>
      <c r="E24" s="170"/>
      <c r="F24" s="302"/>
      <c r="G24" s="285"/>
      <c r="H24" s="286"/>
      <c r="I24" s="170"/>
      <c r="J24" s="304"/>
      <c r="K24" s="305"/>
      <c r="L24" s="294"/>
      <c r="M24" s="294"/>
      <c r="N24" s="291"/>
      <c r="P24" s="87"/>
      <c r="Q24" s="87"/>
      <c r="R24" s="87"/>
      <c r="S24" s="234">
        <f t="shared" si="0"/>
        <v>0</v>
      </c>
    </row>
    <row r="25" spans="1:19" ht="16.5">
      <c r="A25" s="306" t="s">
        <v>51</v>
      </c>
      <c r="B25" s="281" t="s">
        <v>23</v>
      </c>
      <c r="C25" s="282">
        <v>150018</v>
      </c>
      <c r="D25" s="295">
        <f>+T25</f>
        <v>0</v>
      </c>
      <c r="E25" s="159">
        <v>652612</v>
      </c>
      <c r="F25" s="284" t="e">
        <f>(+E25/D25)*100-100</f>
        <v>#DIV/0!</v>
      </c>
      <c r="G25" s="285">
        <v>1247800</v>
      </c>
      <c r="H25" s="286">
        <f t="shared" si="2"/>
        <v>8.01639512771753</v>
      </c>
      <c r="I25" s="159">
        <f>+G25*1.0728</f>
        <v>1338639.84</v>
      </c>
      <c r="J25" s="287" t="e">
        <f>+I25/1000/$K$57*100</f>
        <v>#DIV/0!</v>
      </c>
      <c r="K25" s="288">
        <f>(+I25/G25-1)*100</f>
        <v>7.279999999999998</v>
      </c>
      <c r="L25" s="289">
        <v>436800</v>
      </c>
      <c r="M25" s="290">
        <f>(L25/G25-1)*100</f>
        <v>-64.99439012662286</v>
      </c>
      <c r="N25" s="291">
        <f>+I25/1000/$I$57*100</f>
        <v>7.948931682550993</v>
      </c>
      <c r="P25" s="84">
        <v>261428</v>
      </c>
      <c r="Q25" s="84">
        <f>261428/0.585274</f>
        <v>446676.25761609094</v>
      </c>
      <c r="R25" s="84">
        <v>276967</v>
      </c>
      <c r="S25" s="234">
        <f t="shared" si="0"/>
        <v>473226.21541363536</v>
      </c>
    </row>
    <row r="26" spans="1:19" ht="16.5">
      <c r="A26" s="233" t="s">
        <v>49</v>
      </c>
      <c r="B26" s="281" t="s">
        <v>14</v>
      </c>
      <c r="C26" s="282">
        <v>125938</v>
      </c>
      <c r="D26" s="295">
        <f>+T26</f>
        <v>0</v>
      </c>
      <c r="E26" s="159">
        <f>388411+155680+1598</f>
        <v>545689</v>
      </c>
      <c r="F26" s="284" t="e">
        <f>(+E26/D26)*100-100</f>
        <v>#DIV/0!</v>
      </c>
      <c r="G26" s="285">
        <v>754500</v>
      </c>
      <c r="H26" s="286">
        <f t="shared" si="2"/>
        <v>4.847227218995734</v>
      </c>
      <c r="I26" s="159">
        <f>+G26*0.9397</f>
        <v>709003.65</v>
      </c>
      <c r="J26" s="287" t="e">
        <f>+I26/1000/$K$57*100</f>
        <v>#DIV/0!</v>
      </c>
      <c r="K26" s="288">
        <f>(+I26/G26-1)*100</f>
        <v>-6.030000000000002</v>
      </c>
      <c r="L26" s="289">
        <v>382000</v>
      </c>
      <c r="M26" s="290">
        <f>(L26/G26-1)*100</f>
        <v>-49.37044400265076</v>
      </c>
      <c r="N26" s="291">
        <f>+I26/1000/$I$57*100</f>
        <v>4.210110448027078</v>
      </c>
      <c r="P26" s="84">
        <f>67020+142469+5308</f>
        <v>214797</v>
      </c>
      <c r="Q26" s="84">
        <f>(67020+142469+5308)/0.585274</f>
        <v>367002.4638032785</v>
      </c>
      <c r="R26" s="84">
        <f>167785+72761+5308</f>
        <v>245854</v>
      </c>
      <c r="S26" s="234">
        <f t="shared" si="0"/>
        <v>420066.49876809836</v>
      </c>
    </row>
    <row r="27" spans="2:19" ht="16.5">
      <c r="B27" s="281" t="s">
        <v>15</v>
      </c>
      <c r="C27" s="282">
        <v>355</v>
      </c>
      <c r="D27" s="283">
        <v>0</v>
      </c>
      <c r="E27" s="159">
        <v>0</v>
      </c>
      <c r="F27" s="284">
        <v>0</v>
      </c>
      <c r="G27" s="285">
        <v>11500</v>
      </c>
      <c r="H27" s="286">
        <f t="shared" si="2"/>
        <v>0.07388086549827826</v>
      </c>
      <c r="I27" s="159">
        <v>0</v>
      </c>
      <c r="J27" s="287" t="e">
        <f>+I27/1000/$K$57*100</f>
        <v>#DIV/0!</v>
      </c>
      <c r="K27" s="288">
        <f>(+I27/G27-1)*100</f>
        <v>-100</v>
      </c>
      <c r="L27" s="289" t="e">
        <f>I27/(1+K27/100)*(1+F27/100)</f>
        <v>#DIV/0!</v>
      </c>
      <c r="M27" s="290"/>
      <c r="N27" s="291">
        <f>+I27/1000/$I$57*100</f>
        <v>0</v>
      </c>
      <c r="P27" s="84">
        <v>0</v>
      </c>
      <c r="Q27" s="84">
        <v>0</v>
      </c>
      <c r="R27" s="84">
        <v>0</v>
      </c>
      <c r="S27" s="234">
        <f t="shared" si="0"/>
        <v>0</v>
      </c>
    </row>
    <row r="28" spans="2:19" ht="16.5">
      <c r="B28" s="281" t="s">
        <v>39</v>
      </c>
      <c r="C28" s="282">
        <v>567</v>
      </c>
      <c r="D28" s="295">
        <f>+T28</f>
        <v>0</v>
      </c>
      <c r="E28" s="159">
        <v>11514</v>
      </c>
      <c r="F28" s="284" t="e">
        <f>(+E28/D28)*100-100</f>
        <v>#DIV/0!</v>
      </c>
      <c r="G28" s="285">
        <v>0</v>
      </c>
      <c r="H28" s="286">
        <f t="shared" si="2"/>
        <v>0</v>
      </c>
      <c r="I28" s="159">
        <v>0</v>
      </c>
      <c r="J28" s="287" t="e">
        <f>+I28/1000/$K$57*100</f>
        <v>#DIV/0!</v>
      </c>
      <c r="K28" s="288"/>
      <c r="L28" s="289">
        <v>95000</v>
      </c>
      <c r="M28" s="290" t="e">
        <f>(L28/G28-1)*100</f>
        <v>#DIV/0!</v>
      </c>
      <c r="N28" s="291">
        <f>+I28/1000/$I$57*100</f>
        <v>0</v>
      </c>
      <c r="P28" s="84">
        <v>5392</v>
      </c>
      <c r="Q28" s="84">
        <f>5392/0.585274</f>
        <v>9212.778971900341</v>
      </c>
      <c r="R28" s="84">
        <v>6058</v>
      </c>
      <c r="S28" s="234">
        <f t="shared" si="0"/>
        <v>10350.707531856875</v>
      </c>
    </row>
    <row r="29" spans="2:19" ht="16.5">
      <c r="B29" s="301"/>
      <c r="C29" s="302"/>
      <c r="D29" s="303"/>
      <c r="E29" s="170"/>
      <c r="F29" s="302"/>
      <c r="G29" s="285">
        <v>0</v>
      </c>
      <c r="H29" s="286"/>
      <c r="I29" s="170"/>
      <c r="J29" s="304"/>
      <c r="K29" s="305"/>
      <c r="L29" s="294"/>
      <c r="M29" s="294"/>
      <c r="N29" s="291"/>
      <c r="P29" s="87"/>
      <c r="Q29" s="87"/>
      <c r="R29" s="87"/>
      <c r="S29" s="234">
        <f t="shared" si="0"/>
        <v>0</v>
      </c>
    </row>
    <row r="30" spans="2:19" ht="16.5">
      <c r="B30" s="281" t="s">
        <v>36</v>
      </c>
      <c r="C30" s="292">
        <f>+C32+C46</f>
        <v>1016432</v>
      </c>
      <c r="D30" s="283">
        <f>+D32+D46</f>
        <v>1722015.6712924202</v>
      </c>
      <c r="E30" s="159">
        <f>+E32+E46</f>
        <v>4498148</v>
      </c>
      <c r="F30" s="307">
        <f>(+E30/D30)*100-100</f>
        <v>161.2141152364784</v>
      </c>
      <c r="G30" s="285">
        <f>+G32+G46</f>
        <v>6798200.374990176</v>
      </c>
      <c r="H30" s="286">
        <f t="shared" si="2"/>
        <v>43.67451543782556</v>
      </c>
      <c r="I30" s="159">
        <f>+I32+I46</f>
        <v>7446487.178696405</v>
      </c>
      <c r="J30" s="287" t="e">
        <f>+I30/1000/$K$57*100</f>
        <v>#DIV/0!</v>
      </c>
      <c r="K30" s="288">
        <f>(+I30/G30-1)*100</f>
        <v>9.536153216242393</v>
      </c>
      <c r="L30" s="289">
        <f>+L32</f>
        <v>3115750</v>
      </c>
      <c r="M30" s="290">
        <f>(L30/G30-1)*100</f>
        <v>-54.16801759091277</v>
      </c>
      <c r="N30" s="291">
        <f>+I30/1000/$I$57*100</f>
        <v>44.21773212610318</v>
      </c>
      <c r="P30" s="86">
        <f>+P32+P46</f>
        <v>1849239</v>
      </c>
      <c r="Q30" s="86">
        <f>+Q32+Q46</f>
        <v>3159612.4208490388</v>
      </c>
      <c r="R30" s="86">
        <f>+R32+R46</f>
        <v>2087972</v>
      </c>
      <c r="S30" s="234">
        <f t="shared" si="0"/>
        <v>3567511.968753097</v>
      </c>
    </row>
    <row r="31" spans="2:19" ht="16.5">
      <c r="B31" s="281"/>
      <c r="C31" s="299"/>
      <c r="D31" s="297"/>
      <c r="E31" s="178"/>
      <c r="F31" s="307"/>
      <c r="G31" s="285"/>
      <c r="H31" s="286"/>
      <c r="I31" s="178"/>
      <c r="J31" s="308"/>
      <c r="K31" s="288"/>
      <c r="L31" s="294"/>
      <c r="M31" s="290"/>
      <c r="N31" s="291"/>
      <c r="P31" s="85"/>
      <c r="Q31" s="85"/>
      <c r="R31" s="85"/>
      <c r="S31" s="234">
        <f t="shared" si="0"/>
        <v>0</v>
      </c>
    </row>
    <row r="32" spans="2:19" ht="16.5">
      <c r="B32" s="281" t="s">
        <v>37</v>
      </c>
      <c r="C32" s="282">
        <f>+C33+C43</f>
        <v>1008790</v>
      </c>
      <c r="D32" s="283">
        <f>+D33+D43</f>
        <v>1722015.6712924202</v>
      </c>
      <c r="E32" s="159">
        <f>+E33+E43</f>
        <v>4498148</v>
      </c>
      <c r="F32" s="307">
        <f aca="true" t="shared" si="10" ref="F32:F44">(+E32/D32)*100-100</f>
        <v>161.2141152364784</v>
      </c>
      <c r="G32" s="285">
        <f>+G33+G43</f>
        <v>6798200.374990176</v>
      </c>
      <c r="H32" s="286">
        <f t="shared" si="2"/>
        <v>43.67451543782556</v>
      </c>
      <c r="I32" s="159">
        <f>+I33+I43</f>
        <v>7446487.178696405</v>
      </c>
      <c r="J32" s="287" t="e">
        <f aca="true" t="shared" si="11" ref="J32:J45">+I32/1000/$K$57*100</f>
        <v>#DIV/0!</v>
      </c>
      <c r="K32" s="288">
        <f aca="true" t="shared" si="12" ref="K32:K45">(+I32/G32-1)*100</f>
        <v>9.536153216242393</v>
      </c>
      <c r="L32" s="289">
        <f>+L33+L43</f>
        <v>3115750</v>
      </c>
      <c r="M32" s="290">
        <f aca="true" t="shared" si="13" ref="M32:M44">(L32/G32-1)*100</f>
        <v>-54.16801759091277</v>
      </c>
      <c r="N32" s="291">
        <f aca="true" t="shared" si="14" ref="N32:N46">+I32/1000/$I$57*100</f>
        <v>44.21773212610318</v>
      </c>
      <c r="P32" s="86">
        <f>+P33+P43</f>
        <v>1849239</v>
      </c>
      <c r="Q32" s="86">
        <f>+Q33+Q43</f>
        <v>3159612.4208490388</v>
      </c>
      <c r="R32" s="86">
        <f>+R33+R43</f>
        <v>2087972</v>
      </c>
      <c r="S32" s="234">
        <f t="shared" si="0"/>
        <v>3567511.968753097</v>
      </c>
    </row>
    <row r="33" spans="2:19" ht="16.5">
      <c r="B33" s="281" t="s">
        <v>34</v>
      </c>
      <c r="C33" s="282">
        <f>SUM(C34:C42)</f>
        <v>937943</v>
      </c>
      <c r="D33" s="283">
        <f>SUM(D34:D42)</f>
        <v>1555415.202810991</v>
      </c>
      <c r="E33" s="159">
        <f>SUM(E34:E42)</f>
        <v>4297090</v>
      </c>
      <c r="F33" s="307">
        <f t="shared" si="10"/>
        <v>176.2664266257765</v>
      </c>
      <c r="G33" s="285">
        <f>SUM(G34:G42)</f>
        <v>6205300.374990176</v>
      </c>
      <c r="H33" s="286">
        <f t="shared" si="2"/>
        <v>39.86547498965781</v>
      </c>
      <c r="I33" s="159">
        <f>SUM(I34:I42)</f>
        <v>6778950.178696405</v>
      </c>
      <c r="J33" s="287" t="e">
        <f t="shared" si="11"/>
        <v>#DIV/0!</v>
      </c>
      <c r="K33" s="288">
        <f t="shared" si="12"/>
        <v>9.244513062063287</v>
      </c>
      <c r="L33" s="289">
        <f>SUM(L34:L42)</f>
        <v>2894990</v>
      </c>
      <c r="M33" s="290">
        <f t="shared" si="13"/>
        <v>-53.346496945289566</v>
      </c>
      <c r="N33" s="291">
        <f t="shared" si="14"/>
        <v>40.25385338141032</v>
      </c>
      <c r="P33" s="86">
        <f>SUM(P34:P42)</f>
        <v>1774412</v>
      </c>
      <c r="Q33" s="86">
        <f>SUM(Q34:Q42)</f>
        <v>3031762.9007951836</v>
      </c>
      <c r="R33" s="86">
        <f>SUM(R34:R42)</f>
        <v>2003499</v>
      </c>
      <c r="S33" s="234">
        <f t="shared" si="0"/>
        <v>3423181.2791957273</v>
      </c>
    </row>
    <row r="34" spans="2:19" ht="16.5">
      <c r="B34" s="270" t="s">
        <v>17</v>
      </c>
      <c r="C34" s="296">
        <v>269354</v>
      </c>
      <c r="D34" s="295">
        <f>+T34</f>
        <v>0</v>
      </c>
      <c r="E34" s="178">
        <v>1200237</v>
      </c>
      <c r="F34" s="309" t="e">
        <f t="shared" si="10"/>
        <v>#DIV/0!</v>
      </c>
      <c r="G34" s="285">
        <v>2256200</v>
      </c>
      <c r="H34" s="286">
        <f t="shared" si="2"/>
        <v>14.494783368453511</v>
      </c>
      <c r="I34" s="159">
        <f>+G34*1.09</f>
        <v>2459258</v>
      </c>
      <c r="J34" s="287" t="e">
        <f t="shared" si="11"/>
        <v>#DIV/0!</v>
      </c>
      <c r="K34" s="288">
        <f t="shared" si="12"/>
        <v>9.000000000000007</v>
      </c>
      <c r="L34" s="310">
        <v>820700</v>
      </c>
      <c r="M34" s="290">
        <f t="shared" si="13"/>
        <v>-63.624678663239074</v>
      </c>
      <c r="N34" s="291">
        <f t="shared" si="14"/>
        <v>14.603236245954692</v>
      </c>
      <c r="P34" s="85">
        <v>499308</v>
      </c>
      <c r="Q34" s="85">
        <f>499308/0.585274</f>
        <v>853118.3684906557</v>
      </c>
      <c r="R34" s="85">
        <v>570913</v>
      </c>
      <c r="S34" s="234">
        <f t="shared" si="0"/>
        <v>975462.7747003968</v>
      </c>
    </row>
    <row r="35" spans="1:19" ht="16.5">
      <c r="A35" s="233" t="s">
        <v>54</v>
      </c>
      <c r="B35" s="270" t="s">
        <v>18</v>
      </c>
      <c r="C35" s="296">
        <v>76954</v>
      </c>
      <c r="D35" s="283">
        <f>(173916+53)/0.585274-179-2190-4386-4616-423-451-1-10520-95-240-498-3947-1164</f>
        <v>268533.68415477197</v>
      </c>
      <c r="E35" s="178">
        <f>329394+46-129-2147-4060-3537-55-269-56-3673-112-190-374-2088-56</f>
        <v>312694</v>
      </c>
      <c r="F35" s="309">
        <f t="shared" si="10"/>
        <v>16.444981933728585</v>
      </c>
      <c r="G35" s="285">
        <v>788500</v>
      </c>
      <c r="H35" s="286">
        <f t="shared" si="2"/>
        <v>5.065657603947166</v>
      </c>
      <c r="I35" s="159">
        <f>+G35*1.0798</f>
        <v>851422.3</v>
      </c>
      <c r="J35" s="287" t="e">
        <f t="shared" si="11"/>
        <v>#DIV/0!</v>
      </c>
      <c r="K35" s="288">
        <f t="shared" si="12"/>
        <v>7.980000000000009</v>
      </c>
      <c r="L35" s="310">
        <v>207290</v>
      </c>
      <c r="M35" s="290">
        <f t="shared" si="13"/>
        <v>-73.71084337349399</v>
      </c>
      <c r="N35" s="291">
        <f t="shared" si="14"/>
        <v>5.055801787357858</v>
      </c>
      <c r="P35" s="85">
        <f>137767+38-100-1206-2330-2259-211-238-1-5738-55-140-291-2176-681</f>
        <v>122379</v>
      </c>
      <c r="Q35" s="85">
        <f>(137767+38-100-1206-2330-2259-211-238-1-5738-55-140-291-2176-681)/0.585274</f>
        <v>209096.93579417505</v>
      </c>
      <c r="R35" s="85">
        <f>159857+40-100-1213-2563-2637-211-263-1-6157-55-140-292-2310-681</f>
        <v>143274</v>
      </c>
      <c r="S35" s="234">
        <f t="shared" si="0"/>
        <v>244798.16291173024</v>
      </c>
    </row>
    <row r="36" spans="2:19" ht="16.5">
      <c r="B36" s="270" t="s">
        <v>19</v>
      </c>
      <c r="C36" s="296">
        <v>15523</v>
      </c>
      <c r="D36" s="295">
        <f>+T36</f>
        <v>0</v>
      </c>
      <c r="E36" s="178">
        <v>27444</v>
      </c>
      <c r="F36" s="309" t="e">
        <f t="shared" si="10"/>
        <v>#DIV/0!</v>
      </c>
      <c r="G36" s="285">
        <v>65500</v>
      </c>
      <c r="H36" s="286">
        <f t="shared" si="2"/>
        <v>0.4207997121858457</v>
      </c>
      <c r="I36" s="159">
        <v>100000</v>
      </c>
      <c r="J36" s="287" t="e">
        <f t="shared" si="11"/>
        <v>#DIV/0!</v>
      </c>
      <c r="K36" s="288">
        <f t="shared" si="12"/>
        <v>52.67175572519085</v>
      </c>
      <c r="L36" s="310">
        <v>50000</v>
      </c>
      <c r="M36" s="290">
        <f t="shared" si="13"/>
        <v>-23.664122137404576</v>
      </c>
      <c r="N36" s="291">
        <f t="shared" si="14"/>
        <v>0.5938065971912948</v>
      </c>
      <c r="P36" s="85">
        <v>18407</v>
      </c>
      <c r="Q36" s="85">
        <f>18407/0.585274</f>
        <v>31450.226731411272</v>
      </c>
      <c r="R36" s="85">
        <v>26764</v>
      </c>
      <c r="S36" s="234">
        <f t="shared" si="0"/>
        <v>45729.00897699198</v>
      </c>
    </row>
    <row r="37" spans="2:19" ht="16.5">
      <c r="B37" s="270" t="s">
        <v>20</v>
      </c>
      <c r="C37" s="296">
        <v>155726</v>
      </c>
      <c r="D37" s="295">
        <f>+T37</f>
        <v>0</v>
      </c>
      <c r="E37" s="178">
        <v>524847</v>
      </c>
      <c r="F37" s="309" t="e">
        <f t="shared" si="10"/>
        <v>#DIV/0!</v>
      </c>
      <c r="G37" s="285">
        <v>502800</v>
      </c>
      <c r="H37" s="286">
        <f t="shared" si="2"/>
        <v>3.2301999280464613</v>
      </c>
      <c r="I37" s="159">
        <v>502800</v>
      </c>
      <c r="J37" s="287" t="e">
        <f t="shared" si="11"/>
        <v>#DIV/0!</v>
      </c>
      <c r="K37" s="288">
        <f t="shared" si="12"/>
        <v>0</v>
      </c>
      <c r="L37" s="310">
        <v>382000</v>
      </c>
      <c r="M37" s="290">
        <f t="shared" si="13"/>
        <v>-24.025457438345267</v>
      </c>
      <c r="N37" s="291">
        <f t="shared" si="14"/>
        <v>2.9856595706778304</v>
      </c>
      <c r="P37" s="85">
        <v>253632</v>
      </c>
      <c r="Q37" s="85">
        <f>253632/0.585274</f>
        <v>433356.0007791223</v>
      </c>
      <c r="R37" s="85">
        <v>273485</v>
      </c>
      <c r="S37" s="234">
        <f t="shared" si="0"/>
        <v>467276.8651947635</v>
      </c>
    </row>
    <row r="38" spans="2:19" ht="16.5">
      <c r="B38" s="270" t="s">
        <v>21</v>
      </c>
      <c r="C38" s="311">
        <v>146560</v>
      </c>
      <c r="D38" s="295">
        <f>+T38</f>
        <v>0</v>
      </c>
      <c r="E38" s="182">
        <f>627900+83180+23018</f>
        <v>734098</v>
      </c>
      <c r="F38" s="309" t="e">
        <f t="shared" si="10"/>
        <v>#DIV/0!</v>
      </c>
      <c r="G38" s="285">
        <v>1872400</v>
      </c>
      <c r="H38" s="286">
        <f t="shared" si="2"/>
        <v>12.029089787737062</v>
      </c>
      <c r="I38" s="159">
        <f>+G38*1.095</f>
        <v>2050278</v>
      </c>
      <c r="J38" s="287" t="e">
        <f t="shared" si="11"/>
        <v>#DIV/0!</v>
      </c>
      <c r="K38" s="288">
        <f t="shared" si="12"/>
        <v>9.499999999999996</v>
      </c>
      <c r="L38" s="310">
        <v>492460</v>
      </c>
      <c r="M38" s="290">
        <f t="shared" si="13"/>
        <v>-73.69899594103823</v>
      </c>
      <c r="N38" s="291">
        <f t="shared" si="14"/>
        <v>12.174686024761733</v>
      </c>
      <c r="P38" s="312">
        <f>282544+1953+12155</f>
        <v>296652</v>
      </c>
      <c r="Q38" s="312">
        <f>(282544+1953+12155)/0.585274</f>
        <v>506860.03478712536</v>
      </c>
      <c r="R38" s="312">
        <f>290176+35525+12579</f>
        <v>338280</v>
      </c>
      <c r="S38" s="234">
        <f t="shared" si="0"/>
        <v>577985.6955887328</v>
      </c>
    </row>
    <row r="39" spans="1:19" ht="16.5">
      <c r="A39" s="233" t="s">
        <v>41</v>
      </c>
      <c r="B39" s="270" t="s">
        <v>24</v>
      </c>
      <c r="C39" s="311">
        <v>56713</v>
      </c>
      <c r="D39" s="295">
        <f>+T39</f>
        <v>0</v>
      </c>
      <c r="E39" s="182">
        <f>1254+70414+188478</f>
        <v>260146</v>
      </c>
      <c r="F39" s="309" t="e">
        <f t="shared" si="10"/>
        <v>#DIV/0!</v>
      </c>
      <c r="G39" s="285">
        <f>197220/0.585274</f>
        <v>336970.3762682094</v>
      </c>
      <c r="H39" s="286">
        <f t="shared" si="2"/>
        <v>2.1648402648674603</v>
      </c>
      <c r="I39" s="159">
        <v>338640</v>
      </c>
      <c r="J39" s="287" t="e">
        <f t="shared" si="11"/>
        <v>#DIV/0!</v>
      </c>
      <c r="K39" s="288">
        <f t="shared" si="12"/>
        <v>0.495480864009723</v>
      </c>
      <c r="L39" s="310">
        <v>160000</v>
      </c>
      <c r="M39" s="290">
        <f t="shared" si="13"/>
        <v>-52.51808133049387</v>
      </c>
      <c r="N39" s="291">
        <f t="shared" si="14"/>
        <v>2.0108666607286008</v>
      </c>
      <c r="P39" s="312">
        <f>102+26916+77435</f>
        <v>104453</v>
      </c>
      <c r="Q39" s="312">
        <f>(102+26916+77435)/0.585274</f>
        <v>178468.54635606572</v>
      </c>
      <c r="R39" s="312">
        <f>208+30616+88550</f>
        <v>119374</v>
      </c>
      <c r="S39" s="234">
        <f t="shared" si="0"/>
        <v>203962.58846283963</v>
      </c>
    </row>
    <row r="40" spans="1:19" ht="16.5">
      <c r="A40" s="313" t="s">
        <v>42</v>
      </c>
      <c r="B40" s="270" t="s">
        <v>25</v>
      </c>
      <c r="C40" s="311">
        <v>12501</v>
      </c>
      <c r="D40" s="295">
        <f>+T40</f>
        <v>0</v>
      </c>
      <c r="E40" s="182">
        <v>37508</v>
      </c>
      <c r="F40" s="309" t="e">
        <f t="shared" si="10"/>
        <v>#DIV/0!</v>
      </c>
      <c r="G40" s="285">
        <v>52301.99872196613</v>
      </c>
      <c r="H40" s="286">
        <f t="shared" si="2"/>
        <v>0.3360101680755392</v>
      </c>
      <c r="I40" s="159">
        <f>+G40*1.02</f>
        <v>53348.03869640545</v>
      </c>
      <c r="J40" s="287" t="e">
        <f t="shared" si="11"/>
        <v>#DIV/0!</v>
      </c>
      <c r="K40" s="288">
        <f t="shared" si="12"/>
        <v>2.0000000000000018</v>
      </c>
      <c r="L40" s="310">
        <v>19720</v>
      </c>
      <c r="M40" s="290">
        <f t="shared" si="13"/>
        <v>-62.2958959851034</v>
      </c>
      <c r="N40" s="291">
        <f t="shared" si="14"/>
        <v>0.3167841732514204</v>
      </c>
      <c r="P40" s="312">
        <v>20619</v>
      </c>
      <c r="Q40" s="312">
        <f>20619/0.585274</f>
        <v>35229.653119735376</v>
      </c>
      <c r="R40" s="312">
        <v>22976</v>
      </c>
      <c r="S40" s="234">
        <f t="shared" si="0"/>
        <v>39256.82671705902</v>
      </c>
    </row>
    <row r="41" spans="1:19" ht="16.5">
      <c r="A41" s="233" t="s">
        <v>44</v>
      </c>
      <c r="B41" s="270" t="s">
        <v>26</v>
      </c>
      <c r="C41" s="314">
        <v>140242</v>
      </c>
      <c r="D41" s="283">
        <f>(204851+330219+186941)/0.585274-D39-D40</f>
        <v>1233629.0352894543</v>
      </c>
      <c r="E41" s="182">
        <f>388252+662808+404523-E39-E40</f>
        <v>1157929</v>
      </c>
      <c r="F41" s="309">
        <f t="shared" si="10"/>
        <v>-6.136369453373987</v>
      </c>
      <c r="G41" s="285">
        <f>6798200-6467572</f>
        <v>330628</v>
      </c>
      <c r="H41" s="286">
        <f t="shared" si="2"/>
        <v>2.12409415634476</v>
      </c>
      <c r="I41" s="159">
        <f>+G41*1.28</f>
        <v>423203.84</v>
      </c>
      <c r="J41" s="287" t="e">
        <f t="shared" si="11"/>
        <v>#DIV/0!</v>
      </c>
      <c r="K41" s="288">
        <f t="shared" si="12"/>
        <v>28.000000000000004</v>
      </c>
      <c r="L41" s="310">
        <f>857820-L39</f>
        <v>697820</v>
      </c>
      <c r="M41" s="290">
        <f t="shared" si="13"/>
        <v>111.05895447451518</v>
      </c>
      <c r="N41" s="291">
        <f t="shared" si="14"/>
        <v>2.513012321486892</v>
      </c>
      <c r="P41" s="312">
        <v>432017</v>
      </c>
      <c r="Q41" s="312">
        <f>(156403+254784+145902)/0.585274-Q39-Q40</f>
        <v>738144.8688990113</v>
      </c>
      <c r="R41" s="312">
        <f>173570+282615+163790-R39-R40</f>
        <v>477625</v>
      </c>
      <c r="S41" s="234">
        <f t="shared" si="0"/>
        <v>816070.7634372961</v>
      </c>
    </row>
    <row r="42" spans="1:19" ht="16.5">
      <c r="A42" s="313" t="s">
        <v>53</v>
      </c>
      <c r="B42" s="301" t="s">
        <v>27</v>
      </c>
      <c r="C42" s="314">
        <v>64370</v>
      </c>
      <c r="D42" s="295">
        <f>41675+6776/0.585274</f>
        <v>53252.483366764965</v>
      </c>
      <c r="E42" s="182">
        <f>9107+33080</f>
        <v>42187</v>
      </c>
      <c r="F42" s="309">
        <f t="shared" si="10"/>
        <v>-20.779281391543464</v>
      </c>
      <c r="G42" s="285">
        <v>0</v>
      </c>
      <c r="H42" s="286">
        <f t="shared" si="2"/>
        <v>0</v>
      </c>
      <c r="I42" s="159">
        <v>0</v>
      </c>
      <c r="J42" s="287" t="e">
        <f t="shared" si="11"/>
        <v>#DIV/0!</v>
      </c>
      <c r="K42" s="288" t="e">
        <f t="shared" si="12"/>
        <v>#DIV/0!</v>
      </c>
      <c r="L42" s="310">
        <v>65000</v>
      </c>
      <c r="M42" s="290" t="e">
        <f t="shared" si="13"/>
        <v>#DIV/0!</v>
      </c>
      <c r="N42" s="291">
        <f t="shared" si="14"/>
        <v>0</v>
      </c>
      <c r="P42" s="312">
        <f>20908+6037</f>
        <v>26945</v>
      </c>
      <c r="Q42" s="312">
        <f>(20908+6037)/0.585274</f>
        <v>46038.26583788107</v>
      </c>
      <c r="R42" s="312">
        <f>23588+7220</f>
        <v>30808</v>
      </c>
      <c r="S42" s="234">
        <f t="shared" si="0"/>
        <v>52638.593205917234</v>
      </c>
    </row>
    <row r="43" spans="2:19" ht="16.5">
      <c r="B43" s="281" t="s">
        <v>35</v>
      </c>
      <c r="C43" s="315">
        <f>+C44+C45</f>
        <v>70847</v>
      </c>
      <c r="D43" s="316">
        <f>+D44+D45</f>
        <v>166600.4684814292</v>
      </c>
      <c r="E43" s="317">
        <f>+E44+E45</f>
        <v>201058</v>
      </c>
      <c r="F43" s="307">
        <f t="shared" si="10"/>
        <v>20.682733867829256</v>
      </c>
      <c r="G43" s="285">
        <f>+G44+G45</f>
        <v>592900</v>
      </c>
      <c r="H43" s="286">
        <f t="shared" si="2"/>
        <v>3.8090404481677544</v>
      </c>
      <c r="I43" s="317">
        <f>+I44+I45</f>
        <v>667537</v>
      </c>
      <c r="J43" s="287" t="e">
        <f t="shared" si="11"/>
        <v>#DIV/0!</v>
      </c>
      <c r="K43" s="288">
        <f t="shared" si="12"/>
        <v>12.588463484567392</v>
      </c>
      <c r="L43" s="289">
        <f>+L44+L45</f>
        <v>220760</v>
      </c>
      <c r="M43" s="290">
        <f t="shared" si="13"/>
        <v>-62.76606510372744</v>
      </c>
      <c r="N43" s="291">
        <f t="shared" si="14"/>
        <v>3.963878744692854</v>
      </c>
      <c r="P43" s="318">
        <f>+P44+P45</f>
        <v>74827</v>
      </c>
      <c r="Q43" s="318">
        <f>+Q44+Q45</f>
        <v>127849.52005385513</v>
      </c>
      <c r="R43" s="318">
        <f>+R44+R45</f>
        <v>84473</v>
      </c>
      <c r="S43" s="234">
        <f t="shared" si="0"/>
        <v>144330.6895573697</v>
      </c>
    </row>
    <row r="44" spans="1:19" ht="16.5">
      <c r="A44" s="306" t="s">
        <v>72</v>
      </c>
      <c r="B44" s="270" t="s">
        <v>28</v>
      </c>
      <c r="C44" s="314">
        <v>53202</v>
      </c>
      <c r="D44" s="283">
        <f>105095/0.585274-113-2037-16-49-106-1315-685-4670-3532-442</f>
        <v>166600.4684814292</v>
      </c>
      <c r="E44" s="182">
        <f>217392-24-221-163-50-3090-754-1446-6178-4301-107</f>
        <v>201058</v>
      </c>
      <c r="F44" s="309">
        <f t="shared" si="10"/>
        <v>20.682733867829256</v>
      </c>
      <c r="G44" s="285">
        <v>476600</v>
      </c>
      <c r="H44" s="286">
        <f t="shared" si="2"/>
        <v>3.061880043172123</v>
      </c>
      <c r="I44" s="317">
        <f>+G44*1.12</f>
        <v>533792</v>
      </c>
      <c r="J44" s="287" t="e">
        <f t="shared" si="11"/>
        <v>#DIV/0!</v>
      </c>
      <c r="K44" s="288">
        <f t="shared" si="12"/>
        <v>12.00000000000001</v>
      </c>
      <c r="L44" s="310">
        <v>220760</v>
      </c>
      <c r="M44" s="290">
        <f t="shared" si="13"/>
        <v>-53.6802349979018</v>
      </c>
      <c r="N44" s="291">
        <f t="shared" si="14"/>
        <v>3.1696921112793564</v>
      </c>
      <c r="P44" s="312">
        <f>80307-66-733-9-14-62-770-239-2329-1197-61</f>
        <v>74827</v>
      </c>
      <c r="Q44" s="312">
        <f>(80307-66-733-9-14-62-770-239-2329-1197-61)/0.585274</f>
        <v>127849.52005385513</v>
      </c>
      <c r="R44" s="312">
        <f>91437-66-1165-9-14-62-770-398-2556-1701-223</f>
        <v>84473</v>
      </c>
      <c r="S44" s="234">
        <f t="shared" si="0"/>
        <v>144330.6895573697</v>
      </c>
    </row>
    <row r="45" spans="2:19" ht="16.5">
      <c r="B45" s="270" t="s">
        <v>29</v>
      </c>
      <c r="C45" s="314">
        <f>11749+5896</f>
        <v>17645</v>
      </c>
      <c r="D45" s="303">
        <v>0</v>
      </c>
      <c r="E45" s="182">
        <v>0</v>
      </c>
      <c r="F45" s="309">
        <v>0</v>
      </c>
      <c r="G45" s="285">
        <v>116300</v>
      </c>
      <c r="H45" s="286">
        <f t="shared" si="2"/>
        <v>0.7471604049956313</v>
      </c>
      <c r="I45" s="317">
        <f>G45*1.15</f>
        <v>133745</v>
      </c>
      <c r="J45" s="287" t="e">
        <f t="shared" si="11"/>
        <v>#DIV/0!</v>
      </c>
      <c r="K45" s="288">
        <f t="shared" si="12"/>
        <v>14.999999999999991</v>
      </c>
      <c r="L45" s="310">
        <v>0</v>
      </c>
      <c r="M45" s="319">
        <v>0</v>
      </c>
      <c r="N45" s="291">
        <f t="shared" si="14"/>
        <v>0.7941866334134972</v>
      </c>
      <c r="P45" s="312">
        <v>0</v>
      </c>
      <c r="Q45" s="312">
        <v>0</v>
      </c>
      <c r="R45" s="312">
        <v>0</v>
      </c>
      <c r="S45" s="234">
        <f t="shared" si="0"/>
        <v>0</v>
      </c>
    </row>
    <row r="46" spans="2:19" ht="16.5">
      <c r="B46" s="281" t="s">
        <v>30</v>
      </c>
      <c r="C46" s="315">
        <v>7642</v>
      </c>
      <c r="D46" s="316">
        <v>0</v>
      </c>
      <c r="E46" s="317">
        <v>0</v>
      </c>
      <c r="F46" s="307"/>
      <c r="G46" s="285">
        <v>0</v>
      </c>
      <c r="H46" s="286">
        <f t="shared" si="2"/>
        <v>0</v>
      </c>
      <c r="I46" s="317">
        <v>0</v>
      </c>
      <c r="J46" s="308"/>
      <c r="K46" s="320"/>
      <c r="L46" s="294"/>
      <c r="M46" s="294"/>
      <c r="N46" s="291">
        <f t="shared" si="14"/>
        <v>0</v>
      </c>
      <c r="P46" s="318">
        <v>0</v>
      </c>
      <c r="Q46" s="318">
        <v>0</v>
      </c>
      <c r="R46" s="318">
        <v>0</v>
      </c>
      <c r="S46" s="234">
        <f t="shared" si="0"/>
        <v>0</v>
      </c>
    </row>
    <row r="47" spans="2:19" ht="16.5">
      <c r="B47" s="301"/>
      <c r="C47" s="314"/>
      <c r="D47" s="303"/>
      <c r="E47" s="170"/>
      <c r="F47" s="302"/>
      <c r="G47" s="285"/>
      <c r="H47" s="286"/>
      <c r="I47" s="170"/>
      <c r="J47" s="321"/>
      <c r="K47" s="305"/>
      <c r="L47" s="294"/>
      <c r="M47" s="294"/>
      <c r="N47" s="291"/>
      <c r="P47" s="87"/>
      <c r="Q47" s="87"/>
      <c r="R47" s="87"/>
      <c r="S47" s="234">
        <f t="shared" si="0"/>
        <v>0</v>
      </c>
    </row>
    <row r="48" spans="2:19" ht="16.5">
      <c r="B48" s="281" t="s">
        <v>31</v>
      </c>
      <c r="C48" s="315">
        <f>+C12+C28-C33</f>
        <v>-22531</v>
      </c>
      <c r="D48" s="316">
        <f>+D12+D28-D33</f>
        <v>-1555415.202810991</v>
      </c>
      <c r="E48" s="317">
        <f>+E12+E28-E33</f>
        <v>662720</v>
      </c>
      <c r="F48" s="307"/>
      <c r="G48" s="285">
        <f>+G12+G28-G33</f>
        <v>1086899.4058270138</v>
      </c>
      <c r="H48" s="286">
        <f t="shared" si="2"/>
        <v>6.982701635831666</v>
      </c>
      <c r="I48" s="317">
        <f>+I12+I28-I33</f>
        <v>769012.3743333835</v>
      </c>
      <c r="J48" s="287" t="e">
        <f>+I48/1000/$K$57*100</f>
        <v>#DIV/0!</v>
      </c>
      <c r="K48" s="288">
        <f>(+I48/G48-1)*100</f>
        <v>-29.247143736522</v>
      </c>
      <c r="L48" s="289">
        <f>+L12+L28-L33</f>
        <v>24210</v>
      </c>
      <c r="M48" s="294"/>
      <c r="N48" s="291">
        <f>+I48/1000/$I$57*100</f>
        <v>4.566446212009047</v>
      </c>
      <c r="P48" s="318">
        <f>+P12+P28-P33</f>
        <v>225982</v>
      </c>
      <c r="Q48" s="318">
        <f>+Q12+Q28-Q33</f>
        <v>386113.170925071</v>
      </c>
      <c r="R48" s="318">
        <f>+R12+R28-R33</f>
        <v>307865</v>
      </c>
      <c r="S48" s="234">
        <f t="shared" si="0"/>
        <v>526018.5827492764</v>
      </c>
    </row>
    <row r="49" spans="2:19" ht="16.5">
      <c r="B49" s="281"/>
      <c r="C49" s="322"/>
      <c r="D49" s="316"/>
      <c r="E49" s="323"/>
      <c r="F49" s="302"/>
      <c r="G49" s="285"/>
      <c r="H49" s="286"/>
      <c r="I49" s="323"/>
      <c r="J49" s="324"/>
      <c r="K49" s="305"/>
      <c r="L49" s="325"/>
      <c r="M49" s="294"/>
      <c r="N49" s="291"/>
      <c r="P49" s="326"/>
      <c r="Q49" s="326"/>
      <c r="R49" s="326"/>
      <c r="S49" s="234">
        <f t="shared" si="0"/>
        <v>0</v>
      </c>
    </row>
    <row r="50" spans="2:19" ht="16.5">
      <c r="B50" s="281" t="s">
        <v>32</v>
      </c>
      <c r="C50" s="315">
        <f>+C9-C30</f>
        <v>-100665</v>
      </c>
      <c r="D50" s="316">
        <f>+D9-D30</f>
        <v>-1722015.6712924202</v>
      </c>
      <c r="E50" s="317">
        <f>+E9-E30</f>
        <v>461662</v>
      </c>
      <c r="F50" s="302"/>
      <c r="G50" s="285">
        <f>+G9-G30</f>
        <v>505499.4058270138</v>
      </c>
      <c r="H50" s="286">
        <f t="shared" si="2"/>
        <v>3.24754205316219</v>
      </c>
      <c r="I50" s="317">
        <f>+I9-I30</f>
        <v>101475.37433338352</v>
      </c>
      <c r="J50" s="287" t="e">
        <f>+I50/1000/$K$57*100</f>
        <v>#DIV/0!</v>
      </c>
      <c r="K50" s="305"/>
      <c r="L50" s="289" t="e">
        <f>+L9-L30</f>
        <v>#DIV/0!</v>
      </c>
      <c r="M50" s="294"/>
      <c r="N50" s="291">
        <f>+I50/1000/$I$57*100</f>
        <v>0.6025674673161932</v>
      </c>
      <c r="P50" s="318">
        <f>+P9-P30</f>
        <v>151155</v>
      </c>
      <c r="Q50" s="318">
        <f>+Q9-Q30</f>
        <v>258263.65087121585</v>
      </c>
      <c r="R50" s="318">
        <f>+R9-R30</f>
        <v>223392</v>
      </c>
      <c r="S50" s="234">
        <f t="shared" si="0"/>
        <v>381687.89319190674</v>
      </c>
    </row>
    <row r="51" spans="2:21" ht="16.5">
      <c r="B51" s="281" t="s">
        <v>22</v>
      </c>
      <c r="C51" s="327">
        <f>+C50/1000/C57*100</f>
        <v>-1.6339068333062816</v>
      </c>
      <c r="D51" s="328">
        <f>+D50/1000/D57*100</f>
        <v>-11.062957234494142</v>
      </c>
      <c r="E51" s="329">
        <f>+E50/1000/E57*100</f>
        <v>2.741379412725275</v>
      </c>
      <c r="F51" s="327"/>
      <c r="G51" s="330">
        <f>+G50/1000/G57*100</f>
        <v>3.24754205316219</v>
      </c>
      <c r="H51" s="331"/>
      <c r="I51" s="329">
        <f>+I50/1000/I57*100</f>
        <v>0.6025674673161932</v>
      </c>
      <c r="J51" s="287"/>
      <c r="K51" s="305"/>
      <c r="L51" s="290" t="e">
        <f>+L50/1000/M57*100</f>
        <v>#DIV/0!</v>
      </c>
      <c r="M51" s="294"/>
      <c r="N51" s="280"/>
      <c r="P51" s="332" t="e">
        <f>+P50/1000/P57*100</f>
        <v>#DIV/0!</v>
      </c>
      <c r="Q51" s="332" t="e">
        <f>+Q50/1000/Q57*100</f>
        <v>#DIV/0!</v>
      </c>
      <c r="R51" s="332">
        <f>+R50/1000/R57*100</f>
        <v>1.4421523829936127</v>
      </c>
      <c r="S51" s="333">
        <f t="shared" si="0"/>
        <v>2.4640636402669736</v>
      </c>
      <c r="T51" s="334"/>
      <c r="U51" s="334"/>
    </row>
    <row r="52" spans="2:19" ht="16.5">
      <c r="B52" s="281"/>
      <c r="C52" s="322"/>
      <c r="D52" s="316"/>
      <c r="E52" s="335"/>
      <c r="F52" s="302"/>
      <c r="G52" s="285"/>
      <c r="H52" s="336"/>
      <c r="I52" s="335"/>
      <c r="J52" s="321"/>
      <c r="K52" s="305"/>
      <c r="L52" s="293"/>
      <c r="M52" s="294"/>
      <c r="N52" s="280"/>
      <c r="P52" s="337"/>
      <c r="Q52" s="337"/>
      <c r="R52" s="337"/>
      <c r="S52" s="234">
        <f t="shared" si="0"/>
        <v>0</v>
      </c>
    </row>
    <row r="53" spans="2:19" ht="16.5">
      <c r="B53" s="281" t="s">
        <v>33</v>
      </c>
      <c r="C53" s="338">
        <f>+C50+C37</f>
        <v>55061</v>
      </c>
      <c r="D53" s="316">
        <f>+D50+D37</f>
        <v>-1722015.6712924202</v>
      </c>
      <c r="E53" s="323">
        <f>+E50+E37</f>
        <v>986509</v>
      </c>
      <c r="F53" s="302"/>
      <c r="G53" s="285">
        <v>1051058.1368726443</v>
      </c>
      <c r="H53" s="339"/>
      <c r="I53" s="323">
        <f>+I50+I37</f>
        <v>604275.3743333835</v>
      </c>
      <c r="J53" s="340"/>
      <c r="K53" s="305"/>
      <c r="L53" s="325" t="e">
        <f>+L50+L37</f>
        <v>#DIV/0!</v>
      </c>
      <c r="M53" s="294"/>
      <c r="N53" s="280"/>
      <c r="P53" s="326">
        <f>+P50+P37</f>
        <v>404787</v>
      </c>
      <c r="Q53" s="326">
        <f>+Q50+Q37</f>
        <v>691619.6516503382</v>
      </c>
      <c r="R53" s="326">
        <f>+R50+R37</f>
        <v>496877</v>
      </c>
      <c r="S53" s="234">
        <f t="shared" si="0"/>
        <v>848964.7583866703</v>
      </c>
    </row>
    <row r="54" spans="2:18" ht="17.25" thickBot="1">
      <c r="B54" s="341"/>
      <c r="C54" s="304"/>
      <c r="D54" s="342"/>
      <c r="E54" s="343"/>
      <c r="F54" s="304"/>
      <c r="G54" s="342"/>
      <c r="H54" s="344"/>
      <c r="I54" s="345"/>
      <c r="J54" s="346"/>
      <c r="K54" s="347"/>
      <c r="L54" s="348"/>
      <c r="M54" s="348"/>
      <c r="N54" s="349"/>
      <c r="R54" s="350"/>
    </row>
    <row r="55" spans="2:11" ht="17.25" thickTop="1">
      <c r="B55" s="351"/>
      <c r="C55" s="352"/>
      <c r="D55" s="351"/>
      <c r="E55" s="351"/>
      <c r="F55" s="351"/>
      <c r="G55" s="351"/>
      <c r="H55" s="353"/>
      <c r="I55" s="351"/>
      <c r="J55" s="351"/>
      <c r="K55" s="353"/>
    </row>
    <row r="56" spans="2:4" ht="16.5">
      <c r="B56" s="354" t="s">
        <v>40</v>
      </c>
      <c r="D56" s="355"/>
    </row>
    <row r="57" spans="2:18" ht="16.5">
      <c r="B57" s="354" t="s">
        <v>62</v>
      </c>
      <c r="C57" s="356">
        <v>6161</v>
      </c>
      <c r="D57" s="357">
        <v>15565.6</v>
      </c>
      <c r="E57" s="357">
        <v>16840.5</v>
      </c>
      <c r="F57" s="357"/>
      <c r="G57" s="357">
        <v>15565.6</v>
      </c>
      <c r="H57" s="358"/>
      <c r="I57" s="357">
        <v>16840.5</v>
      </c>
      <c r="J57" s="334">
        <v>8260.3</v>
      </c>
      <c r="K57" s="359"/>
      <c r="L57" s="359"/>
      <c r="M57" s="359"/>
      <c r="N57" s="358"/>
      <c r="R57" s="357">
        <v>15490.18</v>
      </c>
    </row>
    <row r="58" ht="16.5">
      <c r="B58" s="237"/>
    </row>
    <row r="59" ht="16.5">
      <c r="B59" s="354"/>
    </row>
    <row r="61" ht="18" customHeight="1">
      <c r="B61" s="356"/>
    </row>
    <row r="62" ht="18" customHeight="1"/>
    <row r="63" ht="18" customHeight="1"/>
    <row r="64" ht="18" customHeight="1"/>
    <row r="65" ht="18" customHeight="1"/>
  </sheetData>
  <mergeCells count="2">
    <mergeCell ref="B1:N1"/>
    <mergeCell ref="I3:N3"/>
  </mergeCells>
  <printOptions/>
  <pageMargins left="0.33" right="0.15748031496062992" top="0.4" bottom="0.7" header="0.18" footer="0.5118110236220472"/>
  <pageSetup horizontalDpi="600" verticalDpi="600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Dpt of Information Technology</dc:creator>
  <cp:keywords/>
  <dc:description/>
  <cp:lastModifiedBy>MOF</cp:lastModifiedBy>
  <cp:lastPrinted>2008-11-26T11:28:25Z</cp:lastPrinted>
  <dcterms:created xsi:type="dcterms:W3CDTF">1999-01-11T08:46:20Z</dcterms:created>
  <dcterms:modified xsi:type="dcterms:W3CDTF">2008-12-03T10:29:47Z</dcterms:modified>
  <cp:category/>
  <cp:version/>
  <cp:contentType/>
  <cp:contentStatus/>
</cp:coreProperties>
</file>