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280" windowHeight="6870" activeTab="1"/>
  </bookViews>
  <sheets>
    <sheet name="cy pounds" sheetId="1" r:id="rId1"/>
    <sheet name="euro" sheetId="2" r:id="rId2"/>
    <sheet name="rate" sheetId="3" r:id="rId3"/>
  </sheets>
  <definedNames>
    <definedName name="_xlnm.Print_Area" localSheetId="0">'cy pounds'!$BB$3:$BJ$65</definedName>
    <definedName name="_xlnm.Print_Area" localSheetId="1">'euro'!$A$1:$AQ$55</definedName>
    <definedName name="_xlnm.Print_Titles" localSheetId="0">'cy pounds'!$A:$A,'cy pounds'!$1:$2</definedName>
    <definedName name="_xlnm.Print_Titles" localSheetId="1">'euro'!$A:$A,'euro'!$1:$2</definedName>
  </definedNames>
  <calcPr fullCalcOnLoad="1"/>
</workbook>
</file>

<file path=xl/comments1.xml><?xml version="1.0" encoding="utf-8"?>
<comments xmlns="http://schemas.openxmlformats.org/spreadsheetml/2006/main">
  <authors>
    <author>MOF</author>
  </authors>
  <commentList>
    <comment ref="AS7" authorId="0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ΛΚ 114,0 εκ. μου είπε η Καίτη ότι δεν μπήκαν στο σύστημα
</t>
        </r>
      </text>
    </comment>
    <comment ref="AX23" authorId="0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from table 11 cp 2000-2010</t>
        </r>
      </text>
    </comment>
    <comment ref="AY23" authorId="0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from table 11 cp 2000-2010</t>
        </r>
      </text>
    </comment>
    <comment ref="AZ23" authorId="0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from table 11 cp 2000-2010</t>
        </r>
      </text>
    </comment>
    <comment ref="BA23" authorId="0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from table 11 cp 2000-2010</t>
        </r>
      </text>
    </comment>
    <comment ref="BB23" authorId="0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from table 11 cp 2000-2010</t>
        </r>
      </text>
    </comment>
    <comment ref="BC23" authorId="0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from table 11 cp 2000-2010</t>
        </r>
      </text>
    </comment>
    <comment ref="BD23" authorId="0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from table 11 cp 2000-2010</t>
        </r>
      </text>
    </comment>
    <comment ref="BE23" authorId="0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from table 11 cp 2000-2010</t>
        </r>
      </text>
    </comment>
    <comment ref="BF23" authorId="0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from table 11 cp 2000-2010</t>
        </r>
      </text>
    </comment>
    <comment ref="BG23" authorId="0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from table 11 cp 2000-2010</t>
        </r>
      </text>
    </comment>
    <comment ref="BH23" authorId="0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from table 11 cp 2000-2010</t>
        </r>
      </text>
    </comment>
    <comment ref="BI23" authorId="0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from table 11 cp 2000-2010</t>
        </r>
      </text>
    </comment>
    <comment ref="BJ23" authorId="0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from table 11 cp 2000-2010</t>
        </r>
      </text>
    </comment>
  </commentList>
</comments>
</file>

<file path=xl/sharedStrings.xml><?xml version="1.0" encoding="utf-8"?>
<sst xmlns="http://schemas.openxmlformats.org/spreadsheetml/2006/main" count="269" uniqueCount="68">
  <si>
    <t>Table  11. Cyprus: Public Debt by  Instrument and Lender</t>
  </si>
  <si>
    <t>A. DOMESTIC</t>
  </si>
  <si>
    <t>I. LONG-TERM</t>
  </si>
  <si>
    <t>1. Development Stocks</t>
  </si>
  <si>
    <t xml:space="preserve"> - Central Bank</t>
  </si>
  <si>
    <t xml:space="preserve"> - Deposit Money Banks</t>
  </si>
  <si>
    <t xml:space="preserve"> - Private Sector</t>
  </si>
  <si>
    <t xml:space="preserve"> - Sinking Funds</t>
  </si>
  <si>
    <t xml:space="preserve"> - Social Security Funds ²</t>
  </si>
  <si>
    <t>2. Savings Bonds</t>
  </si>
  <si>
    <t>3. Savings Certificates</t>
  </si>
  <si>
    <t>4. Other</t>
  </si>
  <si>
    <t xml:space="preserve"> - Local Authorities Loans</t>
  </si>
  <si>
    <t>II. SHORT-TERM</t>
  </si>
  <si>
    <t>1. Treasury Bills</t>
  </si>
  <si>
    <t xml:space="preserve"> - Sinking Funds </t>
  </si>
  <si>
    <t>2. Central Bank Advances</t>
  </si>
  <si>
    <t>B. FOREIGN</t>
  </si>
  <si>
    <t>1. Short-term liabilities of the Central</t>
  </si>
  <si>
    <t xml:space="preserve">    Bank to the I.M.F.</t>
  </si>
  <si>
    <t>2. Long-term Loans</t>
  </si>
  <si>
    <t xml:space="preserve">   Of which Defence Fund</t>
  </si>
  <si>
    <t>3. Medium-term Loans (E.M.T.N.)</t>
  </si>
  <si>
    <t>4. Short-term Loans (E.C.P.)</t>
  </si>
  <si>
    <t>C. TOTAL PUBLIC DEBT</t>
  </si>
  <si>
    <t>D.NET TOTAL DEBT(excl. intragov.  &amp;</t>
  </si>
  <si>
    <t xml:space="preserve">    short-term liabilities of the C. Bank)</t>
  </si>
  <si>
    <t>Securities:</t>
  </si>
  <si>
    <t>Loans:</t>
  </si>
  <si>
    <t xml:space="preserve">                Long-term:</t>
  </si>
  <si>
    <t xml:space="preserve">               Short-term:</t>
  </si>
  <si>
    <t>Currency and Deposits:</t>
  </si>
  <si>
    <t>-</t>
  </si>
  <si>
    <t xml:space="preserve">               Short-term: Not Available</t>
  </si>
  <si>
    <t>31/06/2005</t>
  </si>
  <si>
    <t>31/09/2005</t>
  </si>
  <si>
    <t>31/11/2005</t>
  </si>
  <si>
    <t>31/06/2006</t>
  </si>
  <si>
    <t>31/09/2006</t>
  </si>
  <si>
    <t>31/11/2006</t>
  </si>
  <si>
    <t>30/5/2006</t>
  </si>
  <si>
    <t>30/7/2006</t>
  </si>
  <si>
    <t>31/8/2006</t>
  </si>
  <si>
    <t>Prefinal 2006</t>
  </si>
  <si>
    <t>Final 2006</t>
  </si>
  <si>
    <t>31/2/2006</t>
  </si>
  <si>
    <t>31/2/2007</t>
  </si>
  <si>
    <t>31/4/2006</t>
  </si>
  <si>
    <t>31/4/2007</t>
  </si>
  <si>
    <t>31/6/2007</t>
  </si>
  <si>
    <t>(in millions of Euro)</t>
  </si>
  <si>
    <t>(in millions of Cyprus Pounds)</t>
  </si>
  <si>
    <t xml:space="preserve"> - Loan No.6362 (School Committees)</t>
  </si>
  <si>
    <t xml:space="preserve"> - Administered Funds ²</t>
  </si>
  <si>
    <t>Public Debt as a % to GDP</t>
  </si>
  <si>
    <t>1st Quarter</t>
  </si>
  <si>
    <t>2nd Quarter</t>
  </si>
  <si>
    <t>3rd Quarter</t>
  </si>
  <si>
    <t>4th Quarter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</si>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</sst>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#,##0.0_ ;[Red]\-#,##0.0\ "/>
    <numFmt numFmtId="166" formatCode="mmm\-yyyy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5" fontId="0" fillId="0" borderId="0" xfId="0" applyNumberFormat="1" applyAlignment="1">
      <alignment/>
    </xf>
    <xf numFmtId="39" fontId="2" fillId="0" borderId="0" xfId="0" applyNumberFormat="1" applyFont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4" fontId="0" fillId="0" borderId="0" xfId="0" applyNumberFormat="1" applyAlignment="1">
      <alignment/>
    </xf>
    <xf numFmtId="4" fontId="0" fillId="0" borderId="0" xfId="0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 horizontal="right"/>
      <protection/>
    </xf>
    <xf numFmtId="4" fontId="2" fillId="0" borderId="0" xfId="0" applyNumberFormat="1" applyFont="1" applyAlignment="1" applyProtection="1">
      <alignment/>
      <protection/>
    </xf>
    <xf numFmtId="164" fontId="1" fillId="0" borderId="1" xfId="0" applyNumberFormat="1" applyFont="1" applyBorder="1" applyAlignment="1" applyProtection="1">
      <alignment/>
      <protection locked="0"/>
    </xf>
    <xf numFmtId="14" fontId="1" fillId="0" borderId="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14" fontId="1" fillId="0" borderId="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39" fontId="2" fillId="0" borderId="0" xfId="0" applyNumberFormat="1" applyFont="1" applyAlignment="1" applyProtection="1">
      <alignment/>
      <protection/>
    </xf>
    <xf numFmtId="39" fontId="1" fillId="0" borderId="0" xfId="0" applyNumberFormat="1" applyFont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39" fontId="1" fillId="0" borderId="0" xfId="0" applyNumberFormat="1" applyFont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49" fontId="1" fillId="0" borderId="1" xfId="0" applyNumberFormat="1" applyFont="1" applyBorder="1" applyAlignment="1" applyProtection="1">
      <alignment horizontal="center"/>
      <protection locked="0"/>
    </xf>
    <xf numFmtId="4" fontId="0" fillId="2" borderId="0" xfId="0" applyNumberFormat="1" applyFont="1" applyFill="1" applyAlignment="1" applyProtection="1">
      <alignment horizontal="right"/>
      <protection/>
    </xf>
    <xf numFmtId="39" fontId="1" fillId="0" borderId="0" xfId="0" applyNumberFormat="1" applyFont="1" applyFill="1" applyAlignment="1" applyProtection="1">
      <alignment/>
      <protection/>
    </xf>
    <xf numFmtId="39" fontId="0" fillId="0" borderId="0" xfId="0" applyNumberFormat="1" applyFont="1" applyFill="1" applyAlignment="1" applyProtection="1">
      <alignment/>
      <protection/>
    </xf>
    <xf numFmtId="39" fontId="0" fillId="0" borderId="0" xfId="0" applyNumberFormat="1" applyFont="1" applyFill="1" applyAlignment="1" applyProtection="1">
      <alignment horizontal="right"/>
      <protection/>
    </xf>
    <xf numFmtId="39" fontId="0" fillId="0" borderId="0" xfId="0" applyNumberFormat="1" applyAlignment="1">
      <alignment/>
    </xf>
    <xf numFmtId="4" fontId="1" fillId="0" borderId="0" xfId="0" applyNumberFormat="1" applyFont="1" applyAlignment="1" applyProtection="1">
      <alignment horizontal="center"/>
      <protection/>
    </xf>
    <xf numFmtId="4" fontId="1" fillId="3" borderId="0" xfId="0" applyNumberFormat="1" applyFont="1" applyFill="1" applyAlignment="1">
      <alignment/>
    </xf>
    <xf numFmtId="2" fontId="1" fillId="2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164" fontId="1" fillId="0" borderId="2" xfId="0" applyNumberFormat="1" applyFont="1" applyBorder="1" applyAlignment="1" applyProtection="1">
      <alignment/>
      <protection locked="0"/>
    </xf>
    <xf numFmtId="49" fontId="1" fillId="0" borderId="2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4"/>
  <sheetViews>
    <sheetView workbookViewId="0" topLeftCell="A1">
      <pane xSplit="1" ySplit="3" topLeftCell="B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L36" sqref="BL36"/>
    </sheetView>
  </sheetViews>
  <sheetFormatPr defaultColWidth="9.140625" defaultRowHeight="12.75"/>
  <cols>
    <col min="1" max="1" width="34.00390625" style="0" customWidth="1"/>
    <col min="2" max="3" width="12.140625" style="0" customWidth="1"/>
    <col min="4" max="5" width="12.57421875" style="0" customWidth="1"/>
    <col min="6" max="14" width="11.00390625" style="0" customWidth="1"/>
    <col min="15" max="15" width="11.7109375" style="0" customWidth="1"/>
    <col min="16" max="16" width="13.7109375" style="0" customWidth="1"/>
    <col min="17" max="17" width="13.00390625" style="0" customWidth="1"/>
    <col min="18" max="29" width="12.7109375" style="0" customWidth="1"/>
    <col min="30" max="30" width="11.140625" style="0" customWidth="1"/>
    <col min="31" max="39" width="12.00390625" style="0" customWidth="1"/>
    <col min="40" max="42" width="9.7109375" style="0" customWidth="1"/>
    <col min="43" max="43" width="10.140625" style="0" bestFit="1" customWidth="1"/>
    <col min="44" max="48" width="10.140625" style="0" customWidth="1"/>
    <col min="49" max="49" width="12.7109375" style="0" customWidth="1"/>
    <col min="50" max="50" width="10.140625" style="0" customWidth="1"/>
    <col min="51" max="51" width="10.140625" style="0" bestFit="1" customWidth="1"/>
    <col min="52" max="59" width="9.7109375" style="0" bestFit="1" customWidth="1"/>
    <col min="60" max="62" width="10.140625" style="0" bestFit="1" customWidth="1"/>
  </cols>
  <sheetData>
    <row r="1" spans="1:17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 thickBot="1">
      <c r="A2" s="1" t="s">
        <v>51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62" ht="13.5" thickBot="1">
      <c r="A3" s="14"/>
      <c r="B3" s="26">
        <v>1995</v>
      </c>
      <c r="C3" s="26">
        <v>1996</v>
      </c>
      <c r="D3" s="26">
        <v>1997</v>
      </c>
      <c r="E3" s="26">
        <v>1998</v>
      </c>
      <c r="F3" s="15">
        <v>36250</v>
      </c>
      <c r="G3" s="15">
        <v>36341</v>
      </c>
      <c r="H3" s="15">
        <v>36433</v>
      </c>
      <c r="I3" s="15">
        <v>36525</v>
      </c>
      <c r="J3" s="15">
        <v>36616</v>
      </c>
      <c r="K3" s="15">
        <v>36707</v>
      </c>
      <c r="L3" s="15">
        <v>36799</v>
      </c>
      <c r="M3" s="15">
        <v>36891</v>
      </c>
      <c r="N3" s="15">
        <v>36981</v>
      </c>
      <c r="O3" s="15">
        <v>37072</v>
      </c>
      <c r="P3" s="15">
        <v>37164</v>
      </c>
      <c r="Q3" s="15">
        <v>37256</v>
      </c>
      <c r="R3" s="15">
        <v>37346</v>
      </c>
      <c r="S3" s="15">
        <v>37437</v>
      </c>
      <c r="T3" s="15">
        <v>37529</v>
      </c>
      <c r="U3" s="15">
        <v>37621</v>
      </c>
      <c r="V3" s="15">
        <v>37711</v>
      </c>
      <c r="W3" s="15">
        <v>37802</v>
      </c>
      <c r="X3" s="15">
        <v>37894</v>
      </c>
      <c r="Y3" s="15">
        <v>37986</v>
      </c>
      <c r="Z3" s="15">
        <v>38077</v>
      </c>
      <c r="AA3" s="15">
        <v>38168</v>
      </c>
      <c r="AB3" s="15">
        <v>38260</v>
      </c>
      <c r="AC3" s="15">
        <v>38352</v>
      </c>
      <c r="AD3" s="15">
        <v>38442</v>
      </c>
      <c r="AE3" s="19" t="s">
        <v>34</v>
      </c>
      <c r="AF3" s="19">
        <v>38564</v>
      </c>
      <c r="AG3" s="19">
        <v>38595</v>
      </c>
      <c r="AH3" s="19" t="s">
        <v>35</v>
      </c>
      <c r="AI3" s="19">
        <v>38656</v>
      </c>
      <c r="AJ3" s="19" t="s">
        <v>36</v>
      </c>
      <c r="AK3" s="19">
        <v>38717</v>
      </c>
      <c r="AL3" s="19">
        <v>38748</v>
      </c>
      <c r="AM3" s="19" t="s">
        <v>45</v>
      </c>
      <c r="AN3" s="15">
        <v>38807</v>
      </c>
      <c r="AO3" s="15" t="s">
        <v>47</v>
      </c>
      <c r="AP3" s="15" t="s">
        <v>40</v>
      </c>
      <c r="AQ3" s="19" t="s">
        <v>37</v>
      </c>
      <c r="AR3" s="15" t="s">
        <v>41</v>
      </c>
      <c r="AS3" s="15" t="s">
        <v>42</v>
      </c>
      <c r="AT3" s="19" t="s">
        <v>38</v>
      </c>
      <c r="AU3" s="19">
        <v>39021</v>
      </c>
      <c r="AV3" s="19" t="s">
        <v>39</v>
      </c>
      <c r="AW3" s="19" t="s">
        <v>43</v>
      </c>
      <c r="AX3" s="19" t="s">
        <v>44</v>
      </c>
      <c r="AY3" s="19">
        <v>39113</v>
      </c>
      <c r="AZ3" s="19" t="s">
        <v>46</v>
      </c>
      <c r="BA3" s="19">
        <v>39172</v>
      </c>
      <c r="BB3" s="19" t="s">
        <v>48</v>
      </c>
      <c r="BC3" s="19">
        <v>39233</v>
      </c>
      <c r="BD3" s="19" t="s">
        <v>49</v>
      </c>
      <c r="BE3" s="19">
        <v>39294</v>
      </c>
      <c r="BF3" s="19">
        <v>39325</v>
      </c>
      <c r="BG3" s="19">
        <v>39355</v>
      </c>
      <c r="BH3" s="19">
        <v>39386</v>
      </c>
      <c r="BI3" s="19">
        <v>39416</v>
      </c>
      <c r="BJ3" s="19">
        <v>39447</v>
      </c>
    </row>
    <row r="4" spans="1:62" ht="12.75">
      <c r="A4" s="2"/>
      <c r="B4" s="2"/>
      <c r="C4" s="2"/>
      <c r="D4" s="2"/>
      <c r="E4" s="2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ht="12.75">
      <c r="A5" s="3" t="s">
        <v>1</v>
      </c>
      <c r="B5" s="21">
        <f>B6+B25</f>
        <v>2730.7000000000007</v>
      </c>
      <c r="C5" s="21">
        <f>C6+C25</f>
        <v>3102.49</v>
      </c>
      <c r="D5" s="21">
        <f>D6+D25</f>
        <v>3461.9700000000003</v>
      </c>
      <c r="E5" s="6">
        <f>E6+E25</f>
        <v>3867.2200000000003</v>
      </c>
      <c r="F5" s="6">
        <f aca="true" t="shared" si="0" ref="F5:Q5">F6+F25</f>
        <v>3837.09</v>
      </c>
      <c r="G5" s="6">
        <f t="shared" si="0"/>
        <v>3837.36</v>
      </c>
      <c r="H5" s="6">
        <f t="shared" si="0"/>
        <v>3958.8399999999997</v>
      </c>
      <c r="I5" s="6">
        <f t="shared" si="0"/>
        <v>4093.07</v>
      </c>
      <c r="J5" s="6">
        <f t="shared" si="0"/>
        <v>4133.69</v>
      </c>
      <c r="K5" s="6">
        <f t="shared" si="0"/>
        <v>4285.68</v>
      </c>
      <c r="L5" s="6">
        <f t="shared" si="0"/>
        <v>4241.3</v>
      </c>
      <c r="M5" s="6">
        <f t="shared" si="0"/>
        <v>4582.13</v>
      </c>
      <c r="N5" s="6">
        <f t="shared" si="0"/>
        <v>4686.549999999999</v>
      </c>
      <c r="O5" s="6">
        <f t="shared" si="0"/>
        <v>4766.29</v>
      </c>
      <c r="P5" s="6">
        <f t="shared" si="0"/>
        <v>4879.55</v>
      </c>
      <c r="Q5" s="6">
        <f t="shared" si="0"/>
        <v>5232.77</v>
      </c>
      <c r="R5" s="6">
        <f aca="true" t="shared" si="1" ref="R5:AC5">R6+R25</f>
        <v>5181.45</v>
      </c>
      <c r="S5" s="6">
        <f t="shared" si="1"/>
        <v>5541.72</v>
      </c>
      <c r="T5" s="6">
        <f t="shared" si="1"/>
        <v>5757.57</v>
      </c>
      <c r="U5" s="6">
        <f t="shared" si="1"/>
        <v>5709.9349999999995</v>
      </c>
      <c r="V5" s="6">
        <f t="shared" si="1"/>
        <v>5913.210999999999</v>
      </c>
      <c r="W5" s="6">
        <f t="shared" si="1"/>
        <v>6055.003000000001</v>
      </c>
      <c r="X5" s="6">
        <f t="shared" si="1"/>
        <v>6197.875</v>
      </c>
      <c r="Y5" s="6">
        <f t="shared" si="1"/>
        <v>6295.498</v>
      </c>
      <c r="Z5" s="6">
        <f t="shared" si="1"/>
        <v>6478.209999999999</v>
      </c>
      <c r="AA5" s="6">
        <f t="shared" si="1"/>
        <v>6654.817999999999</v>
      </c>
      <c r="AB5" s="6">
        <f t="shared" si="1"/>
        <v>6502.2880000000005</v>
      </c>
      <c r="AC5" s="6">
        <f t="shared" si="1"/>
        <v>6559.39</v>
      </c>
      <c r="AD5" s="6">
        <f aca="true" t="shared" si="2" ref="AD5:AV5">AD6+AD25</f>
        <v>6638.5599999999995</v>
      </c>
      <c r="AE5" s="6">
        <f t="shared" si="2"/>
        <v>6906.57</v>
      </c>
      <c r="AF5" s="6">
        <f>AF6+AF25</f>
        <v>7122.73</v>
      </c>
      <c r="AG5" s="6">
        <f>AG6+AG25</f>
        <v>7075.3279999999995</v>
      </c>
      <c r="AH5" s="6">
        <f t="shared" si="2"/>
        <v>7103.8099999999995</v>
      </c>
      <c r="AI5" s="6">
        <f t="shared" si="2"/>
        <v>7130.030000000001</v>
      </c>
      <c r="AJ5" s="6">
        <f t="shared" si="2"/>
        <v>7110.17</v>
      </c>
      <c r="AK5" s="6">
        <f t="shared" si="2"/>
        <v>7146.450000000001</v>
      </c>
      <c r="AL5" s="6">
        <f>AL6+AL25</f>
        <v>7288.3279999999995</v>
      </c>
      <c r="AM5" s="6">
        <f>AM6+AM25</f>
        <v>7159.23</v>
      </c>
      <c r="AN5" s="6">
        <f t="shared" si="2"/>
        <v>7215.796</v>
      </c>
      <c r="AO5" s="6">
        <f>AO6+AO25</f>
        <v>7116.6140000000005</v>
      </c>
      <c r="AP5" s="6">
        <f t="shared" si="2"/>
        <v>7437.261</v>
      </c>
      <c r="AQ5" s="6">
        <f t="shared" si="2"/>
        <v>7480.35</v>
      </c>
      <c r="AR5" s="6">
        <f>AR6+AR25</f>
        <v>7510.62</v>
      </c>
      <c r="AS5" s="6">
        <f>AS6+AS25</f>
        <v>7496.937</v>
      </c>
      <c r="AT5" s="6">
        <f t="shared" si="2"/>
        <v>7501.35</v>
      </c>
      <c r="AU5" s="6">
        <f t="shared" si="2"/>
        <v>7486.889999999999</v>
      </c>
      <c r="AV5" s="6">
        <f t="shared" si="2"/>
        <v>7454.860000000001</v>
      </c>
      <c r="AW5" s="6">
        <f aca="true" t="shared" si="3" ref="AW5:BB5">AW6+AW25</f>
        <v>7454.860000000001</v>
      </c>
      <c r="AX5" s="6">
        <f t="shared" si="3"/>
        <v>7483.285</v>
      </c>
      <c r="AY5" s="6">
        <f t="shared" si="3"/>
        <v>7422.5509999999995</v>
      </c>
      <c r="AZ5" s="6">
        <f t="shared" si="3"/>
        <v>7755.153</v>
      </c>
      <c r="BA5" s="6">
        <f t="shared" si="3"/>
        <v>7698.674</v>
      </c>
      <c r="BB5" s="6">
        <f t="shared" si="3"/>
        <v>7725.692999999999</v>
      </c>
      <c r="BC5" s="6">
        <f aca="true" t="shared" si="4" ref="BC5:BH5">BC6+BC25</f>
        <v>7707.0779999999995</v>
      </c>
      <c r="BD5" s="6">
        <f t="shared" si="4"/>
        <v>7627.4490000000005</v>
      </c>
      <c r="BE5" s="6">
        <f t="shared" si="4"/>
        <v>7584.428</v>
      </c>
      <c r="BF5" s="6">
        <f t="shared" si="4"/>
        <v>7583.79</v>
      </c>
      <c r="BG5" s="6">
        <f t="shared" si="4"/>
        <v>7604.659</v>
      </c>
      <c r="BH5" s="6">
        <f t="shared" si="4"/>
        <v>7617.996</v>
      </c>
      <c r="BI5" s="6">
        <f>BI6+BI25</f>
        <v>7587.671</v>
      </c>
      <c r="BJ5" s="6">
        <f>+euro!AO7*0.585274</f>
        <v>7576.44418018</v>
      </c>
    </row>
    <row r="6" spans="1:62" ht="12.75">
      <c r="A6" s="1" t="s">
        <v>2</v>
      </c>
      <c r="B6" s="22">
        <f>B7+B14+B18+B21</f>
        <v>445.47</v>
      </c>
      <c r="C6" s="22">
        <f>C7+C14+C18+C21</f>
        <v>484.09000000000003</v>
      </c>
      <c r="D6" s="22">
        <f>D7+D14+D18+D21</f>
        <v>677.5500000000001</v>
      </c>
      <c r="E6" s="24">
        <f>E7+E14+E18+E21</f>
        <v>879.21</v>
      </c>
      <c r="F6" s="7">
        <f aca="true" t="shared" si="5" ref="F6:Q6">F7+F14+F18+F21</f>
        <v>890.16</v>
      </c>
      <c r="G6" s="7">
        <f t="shared" si="5"/>
        <v>856.2900000000001</v>
      </c>
      <c r="H6" s="7">
        <f t="shared" si="5"/>
        <v>814.4399999999999</v>
      </c>
      <c r="I6" s="7">
        <f t="shared" si="5"/>
        <v>1013.5</v>
      </c>
      <c r="J6" s="7">
        <f t="shared" si="5"/>
        <v>1091.31</v>
      </c>
      <c r="K6" s="7">
        <f t="shared" si="5"/>
        <v>1122.79</v>
      </c>
      <c r="L6" s="7">
        <f t="shared" si="5"/>
        <v>1132.55</v>
      </c>
      <c r="M6" s="7">
        <f t="shared" si="5"/>
        <v>1175.3500000000001</v>
      </c>
      <c r="N6" s="7">
        <f t="shared" si="5"/>
        <v>1232.27</v>
      </c>
      <c r="O6" s="7">
        <f t="shared" si="5"/>
        <v>1383.0900000000001</v>
      </c>
      <c r="P6" s="7">
        <f t="shared" si="5"/>
        <v>1474.34</v>
      </c>
      <c r="Q6" s="7">
        <f t="shared" si="5"/>
        <v>1580.48</v>
      </c>
      <c r="R6" s="7">
        <f aca="true" t="shared" si="6" ref="R6:AC6">R7+R14+R18+R21</f>
        <v>1699.9</v>
      </c>
      <c r="S6" s="7">
        <f t="shared" si="6"/>
        <v>1689.3000000000002</v>
      </c>
      <c r="T6" s="7">
        <f t="shared" si="6"/>
        <v>2781.97</v>
      </c>
      <c r="U6" s="7">
        <f t="shared" si="6"/>
        <v>2714.77</v>
      </c>
      <c r="V6" s="7">
        <f t="shared" si="6"/>
        <v>2919.67</v>
      </c>
      <c r="W6" s="7">
        <f t="shared" si="6"/>
        <v>3084.27</v>
      </c>
      <c r="X6" s="7">
        <f t="shared" si="6"/>
        <v>3129.4700000000003</v>
      </c>
      <c r="Y6" s="7">
        <f t="shared" si="6"/>
        <v>3151.06</v>
      </c>
      <c r="Z6" s="7">
        <f t="shared" si="6"/>
        <v>3029.31</v>
      </c>
      <c r="AA6" s="7">
        <f t="shared" si="6"/>
        <v>3179.9</v>
      </c>
      <c r="AB6" s="7">
        <f t="shared" si="6"/>
        <v>3227.05</v>
      </c>
      <c r="AC6" s="7">
        <f t="shared" si="6"/>
        <v>3380.4</v>
      </c>
      <c r="AD6" s="7">
        <f aca="true" t="shared" si="7" ref="AD6:AV6">AD7+AD14+AD18+AD21</f>
        <v>3428.96</v>
      </c>
      <c r="AE6" s="7">
        <f t="shared" si="7"/>
        <v>3659.8399999999997</v>
      </c>
      <c r="AF6" s="7">
        <f>AF7+AF14+AF18+AF21</f>
        <v>3696.07</v>
      </c>
      <c r="AG6" s="7">
        <f>AG7+AG14+AG18+AG21</f>
        <v>3668.3149999999996</v>
      </c>
      <c r="AH6" s="7">
        <f t="shared" si="7"/>
        <v>3722.18</v>
      </c>
      <c r="AI6" s="7">
        <f t="shared" si="7"/>
        <v>3722.9</v>
      </c>
      <c r="AJ6" s="7">
        <f t="shared" si="7"/>
        <v>3726.81</v>
      </c>
      <c r="AK6" s="7">
        <f t="shared" si="7"/>
        <v>3733.42</v>
      </c>
      <c r="AL6" s="7">
        <f>AL7+AL14+AL18+AL21</f>
        <v>3799.422</v>
      </c>
      <c r="AM6" s="7">
        <f>AM7+AM14+AM18+AM21</f>
        <v>3649.563</v>
      </c>
      <c r="AN6" s="7">
        <f t="shared" si="7"/>
        <v>3638.676</v>
      </c>
      <c r="AO6" s="7">
        <f>AO7+AO14+AO18+AO21</f>
        <v>3615.2720000000004</v>
      </c>
      <c r="AP6" s="7">
        <f t="shared" si="7"/>
        <v>3913.511</v>
      </c>
      <c r="AQ6" s="7">
        <f t="shared" si="7"/>
        <v>3954.98</v>
      </c>
      <c r="AR6" s="7">
        <f>AR7+AR14+AR18+AR21</f>
        <v>3911.88</v>
      </c>
      <c r="AS6" s="7">
        <f>AS7+AS14+AS18+AS21</f>
        <v>3881.415</v>
      </c>
      <c r="AT6" s="7">
        <f t="shared" si="7"/>
        <v>3951.4900000000002</v>
      </c>
      <c r="AU6" s="7">
        <f t="shared" si="7"/>
        <v>4012.5499999999997</v>
      </c>
      <c r="AV6" s="7">
        <f t="shared" si="7"/>
        <v>3963.01</v>
      </c>
      <c r="AW6" s="7">
        <f aca="true" t="shared" si="8" ref="AW6:BB6">AW7+AW14+AW18+AW21</f>
        <v>3963.01</v>
      </c>
      <c r="AX6" s="7">
        <f t="shared" si="8"/>
        <v>3954.9260000000004</v>
      </c>
      <c r="AY6" s="7">
        <f t="shared" si="8"/>
        <v>3842.681</v>
      </c>
      <c r="AZ6" s="7">
        <f t="shared" si="8"/>
        <v>4071.2019999999998</v>
      </c>
      <c r="BA6" s="7">
        <f t="shared" si="8"/>
        <v>4068.399</v>
      </c>
      <c r="BB6" s="7">
        <f t="shared" si="8"/>
        <v>4154.677</v>
      </c>
      <c r="BC6" s="7">
        <f aca="true" t="shared" si="9" ref="BC6:BH6">BC7+BC14+BC18+BC21</f>
        <v>4146.971</v>
      </c>
      <c r="BD6" s="7">
        <f t="shared" si="9"/>
        <v>4141.361</v>
      </c>
      <c r="BE6" s="7">
        <f t="shared" si="9"/>
        <v>4090.944</v>
      </c>
      <c r="BF6" s="7">
        <f t="shared" si="9"/>
        <v>4090.306</v>
      </c>
      <c r="BG6" s="7">
        <f t="shared" si="9"/>
        <v>4095.71</v>
      </c>
      <c r="BH6" s="7">
        <f t="shared" si="9"/>
        <v>4084.65</v>
      </c>
      <c r="BI6" s="7">
        <f>BI7+BI14+BI18+BI21</f>
        <v>4058.823</v>
      </c>
      <c r="BJ6" s="7">
        <f>BJ7+BJ14+BJ18+BJ21</f>
        <v>4054.8444999999997</v>
      </c>
    </row>
    <row r="7" spans="1:62" s="17" customFormat="1" ht="12.75">
      <c r="A7" s="1" t="s">
        <v>3</v>
      </c>
      <c r="B7" s="22">
        <f>SUM(B8:B12)</f>
        <v>415.17</v>
      </c>
      <c r="C7" s="22">
        <f>SUM(C8:C12)</f>
        <v>454.00000000000006</v>
      </c>
      <c r="D7" s="22">
        <f>SUM(D8:D12)</f>
        <v>644.58</v>
      </c>
      <c r="E7" s="24">
        <f>SUM(E8:E12)</f>
        <v>736.38</v>
      </c>
      <c r="F7" s="7">
        <v>745.5</v>
      </c>
      <c r="G7" s="16">
        <v>712.2</v>
      </c>
      <c r="H7" s="16">
        <v>669.61</v>
      </c>
      <c r="I7" s="16">
        <v>862.75</v>
      </c>
      <c r="J7" s="7">
        <v>941.77</v>
      </c>
      <c r="K7" s="16">
        <v>971.85</v>
      </c>
      <c r="L7" s="16">
        <v>981.41</v>
      </c>
      <c r="M7" s="16">
        <v>1012.61</v>
      </c>
      <c r="N7" s="7">
        <v>1064.87</v>
      </c>
      <c r="O7" s="16">
        <v>1211.66</v>
      </c>
      <c r="P7" s="16">
        <v>1300.32</v>
      </c>
      <c r="Q7" s="16">
        <v>1368.12</v>
      </c>
      <c r="R7" s="7">
        <v>1486.4</v>
      </c>
      <c r="S7" s="16">
        <v>1474.4</v>
      </c>
      <c r="T7" s="16">
        <v>1603.1</v>
      </c>
      <c r="U7" s="16">
        <v>1528.9</v>
      </c>
      <c r="V7" s="7">
        <v>1728.2</v>
      </c>
      <c r="W7" s="16">
        <v>1890.5</v>
      </c>
      <c r="X7" s="16">
        <v>1932.2</v>
      </c>
      <c r="Y7" s="16">
        <v>1946.48</v>
      </c>
      <c r="Z7" s="7">
        <v>1823.12</v>
      </c>
      <c r="AA7" s="16">
        <v>1977.97</v>
      </c>
      <c r="AB7" s="16">
        <v>2022.76</v>
      </c>
      <c r="AC7" s="16">
        <v>2168.26</v>
      </c>
      <c r="AD7" s="7">
        <v>2211.4</v>
      </c>
      <c r="AE7" s="7">
        <v>2443.74</v>
      </c>
      <c r="AF7" s="7">
        <v>2480.28</v>
      </c>
      <c r="AG7" s="7">
        <v>2452.93</v>
      </c>
      <c r="AH7" s="7">
        <v>2505.66</v>
      </c>
      <c r="AI7" s="7">
        <v>2506.03</v>
      </c>
      <c r="AJ7" s="7">
        <v>2507.92</v>
      </c>
      <c r="AK7" s="7">
        <v>2508.92</v>
      </c>
      <c r="AL7" s="7">
        <v>2574.235</v>
      </c>
      <c r="AM7" s="7">
        <v>2425.529</v>
      </c>
      <c r="AN7" s="7">
        <v>2414.596</v>
      </c>
      <c r="AO7" s="7">
        <v>2391.878</v>
      </c>
      <c r="AP7" s="7">
        <v>2688.386</v>
      </c>
      <c r="AQ7" s="7">
        <v>2730.7</v>
      </c>
      <c r="AR7" s="7">
        <v>2687.71</v>
      </c>
      <c r="AS7" s="7">
        <f>2657.692</f>
        <v>2657.692</v>
      </c>
      <c r="AT7" s="7">
        <v>2728.07</v>
      </c>
      <c r="AU7" s="7">
        <v>2789.91</v>
      </c>
      <c r="AV7" s="7">
        <v>2741.69</v>
      </c>
      <c r="AW7" s="7">
        <v>2741.69</v>
      </c>
      <c r="AX7" s="7">
        <v>2726.762</v>
      </c>
      <c r="AY7" s="7">
        <v>2615.219</v>
      </c>
      <c r="AZ7" s="7">
        <v>2844.332</v>
      </c>
      <c r="BA7" s="7">
        <v>2842.758</v>
      </c>
      <c r="BB7" s="7">
        <v>2929.322</v>
      </c>
      <c r="BC7" s="7">
        <v>2922.345</v>
      </c>
      <c r="BD7" s="7">
        <v>2916.997</v>
      </c>
      <c r="BE7" s="7">
        <v>2866.74</v>
      </c>
      <c r="BF7" s="7">
        <v>2866.74</v>
      </c>
      <c r="BG7" s="7">
        <v>2872.3</v>
      </c>
      <c r="BH7" s="7">
        <v>2862.3</v>
      </c>
      <c r="BI7" s="7">
        <v>2837.598</v>
      </c>
      <c r="BJ7" s="28">
        <f>SUM(BJ8:BJ12)</f>
        <v>2829.93</v>
      </c>
    </row>
    <row r="8" spans="1:62" ht="12.75" hidden="1">
      <c r="A8" s="4" t="s">
        <v>4</v>
      </c>
      <c r="B8" s="23">
        <v>29.79</v>
      </c>
      <c r="C8" s="23">
        <v>30.86</v>
      </c>
      <c r="D8" s="23">
        <v>42.87</v>
      </c>
      <c r="E8" s="25">
        <f>45.47</f>
        <v>45.47</v>
      </c>
      <c r="F8" s="9"/>
      <c r="G8" s="8"/>
      <c r="H8" s="8"/>
      <c r="I8" s="8"/>
      <c r="J8" s="9"/>
      <c r="K8" s="8"/>
      <c r="L8" s="8"/>
      <c r="M8" s="8"/>
      <c r="N8" s="9"/>
      <c r="O8" s="8"/>
      <c r="P8" s="8"/>
      <c r="Q8" s="8"/>
      <c r="R8" s="9"/>
      <c r="S8" s="8"/>
      <c r="T8" s="8"/>
      <c r="U8" s="8"/>
      <c r="V8" s="9"/>
      <c r="W8" s="8"/>
      <c r="X8" s="8"/>
      <c r="Y8" s="8"/>
      <c r="Z8" s="9"/>
      <c r="AA8" s="8"/>
      <c r="AB8" s="8"/>
      <c r="AC8" s="8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29">
        <v>30.984</v>
      </c>
    </row>
    <row r="9" spans="1:62" ht="12.75" hidden="1">
      <c r="A9" s="4" t="s">
        <v>5</v>
      </c>
      <c r="B9" s="23">
        <v>5</v>
      </c>
      <c r="C9" s="23">
        <v>0</v>
      </c>
      <c r="D9" s="23">
        <v>111.8</v>
      </c>
      <c r="E9" s="25">
        <v>145.54</v>
      </c>
      <c r="F9" s="9"/>
      <c r="G9" s="8"/>
      <c r="H9" s="8"/>
      <c r="I9" s="8"/>
      <c r="J9" s="9"/>
      <c r="K9" s="8"/>
      <c r="L9" s="8"/>
      <c r="M9" s="8"/>
      <c r="N9" s="9"/>
      <c r="O9" s="8"/>
      <c r="P9" s="8"/>
      <c r="Q9" s="8"/>
      <c r="R9" s="9"/>
      <c r="S9" s="8"/>
      <c r="T9" s="8"/>
      <c r="U9" s="8"/>
      <c r="V9" s="9"/>
      <c r="W9" s="8"/>
      <c r="X9" s="8"/>
      <c r="Y9" s="8"/>
      <c r="Z9" s="9"/>
      <c r="AA9" s="8"/>
      <c r="AB9" s="8"/>
      <c r="AC9" s="8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30">
        <v>1884.581</v>
      </c>
    </row>
    <row r="10" spans="1:62" ht="12.75" hidden="1">
      <c r="A10" s="4" t="s">
        <v>6</v>
      </c>
      <c r="B10" s="23">
        <v>379.9</v>
      </c>
      <c r="C10" s="23">
        <v>422.66</v>
      </c>
      <c r="D10" s="23">
        <f>489.7-0.2-0.07</f>
        <v>489.43</v>
      </c>
      <c r="E10" s="23">
        <f>545.37-0.48</f>
        <v>544.89</v>
      </c>
      <c r="F10" s="10"/>
      <c r="G10" s="8"/>
      <c r="H10" s="8"/>
      <c r="I10" s="8"/>
      <c r="J10" s="10"/>
      <c r="K10" s="8"/>
      <c r="L10" s="8"/>
      <c r="M10" s="8"/>
      <c r="N10" s="10"/>
      <c r="O10" s="8"/>
      <c r="P10" s="8"/>
      <c r="Q10" s="8"/>
      <c r="R10" s="10"/>
      <c r="S10" s="8"/>
      <c r="T10" s="8"/>
      <c r="U10" s="8"/>
      <c r="V10" s="10"/>
      <c r="W10" s="8"/>
      <c r="X10" s="8"/>
      <c r="Y10" s="8"/>
      <c r="Z10" s="10"/>
      <c r="AA10" s="8"/>
      <c r="AB10" s="8"/>
      <c r="AC10" s="8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29">
        <f>2829.93-BJ8-BJ9-BJ12</f>
        <v>913.885</v>
      </c>
    </row>
    <row r="11" spans="1:62" ht="12.75" hidden="1">
      <c r="A11" s="4" t="s">
        <v>7</v>
      </c>
      <c r="B11" s="23">
        <v>0</v>
      </c>
      <c r="C11" s="23">
        <v>0</v>
      </c>
      <c r="D11" s="23">
        <v>0</v>
      </c>
      <c r="E11" s="23">
        <v>0</v>
      </c>
      <c r="F11" s="10"/>
      <c r="G11" s="8"/>
      <c r="H11" s="8"/>
      <c r="I11" s="8"/>
      <c r="J11" s="10"/>
      <c r="K11" s="8"/>
      <c r="L11" s="8"/>
      <c r="M11" s="8"/>
      <c r="N11" s="10"/>
      <c r="O11" s="8"/>
      <c r="P11" s="8"/>
      <c r="Q11" s="8"/>
      <c r="R11" s="10"/>
      <c r="S11" s="8"/>
      <c r="T11" s="8"/>
      <c r="U11" s="8"/>
      <c r="V11" s="10"/>
      <c r="W11" s="8"/>
      <c r="X11" s="8"/>
      <c r="Y11" s="8"/>
      <c r="Z11" s="10"/>
      <c r="AA11" s="8"/>
      <c r="AB11" s="8"/>
      <c r="AC11" s="8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29">
        <v>0</v>
      </c>
    </row>
    <row r="12" spans="1:62" ht="12.75">
      <c r="A12" s="4" t="s">
        <v>8</v>
      </c>
      <c r="B12" s="23">
        <v>0.48</v>
      </c>
      <c r="C12" s="23">
        <v>0.48</v>
      </c>
      <c r="D12" s="23">
        <v>0.48</v>
      </c>
      <c r="E12" s="23">
        <f>D12</f>
        <v>0.48</v>
      </c>
      <c r="F12" s="10">
        <v>0.48</v>
      </c>
      <c r="G12" s="10">
        <v>0.48</v>
      </c>
      <c r="H12" s="10">
        <v>0.48</v>
      </c>
      <c r="I12" s="10">
        <v>0.48</v>
      </c>
      <c r="J12" s="10">
        <v>0.48</v>
      </c>
      <c r="K12" s="10">
        <v>0.48</v>
      </c>
      <c r="L12" s="10">
        <v>0.48</v>
      </c>
      <c r="M12" s="10">
        <v>0.48</v>
      </c>
      <c r="N12" s="10">
        <v>0.48</v>
      </c>
      <c r="O12" s="10">
        <v>0.48</v>
      </c>
      <c r="P12" s="10">
        <v>0.48</v>
      </c>
      <c r="Q12" s="10">
        <v>0.48</v>
      </c>
      <c r="R12" s="10">
        <v>0.48</v>
      </c>
      <c r="S12" s="10">
        <v>0.48</v>
      </c>
      <c r="T12" s="10">
        <v>0.48</v>
      </c>
      <c r="U12" s="10">
        <v>0.48</v>
      </c>
      <c r="V12" s="10">
        <v>0.48</v>
      </c>
      <c r="W12" s="10">
        <v>0.48</v>
      </c>
      <c r="X12" s="10">
        <v>0.48</v>
      </c>
      <c r="Y12" s="10">
        <v>0.48</v>
      </c>
      <c r="Z12" s="10">
        <v>0.48</v>
      </c>
      <c r="AA12" s="10">
        <v>0.48</v>
      </c>
      <c r="AB12" s="10">
        <v>0.48</v>
      </c>
      <c r="AC12" s="10">
        <v>0.48</v>
      </c>
      <c r="AD12" s="10">
        <v>0.48</v>
      </c>
      <c r="AE12" s="10">
        <v>0.48</v>
      </c>
      <c r="AF12" s="10">
        <v>0.48</v>
      </c>
      <c r="AG12" s="10">
        <v>0.48</v>
      </c>
      <c r="AH12" s="10">
        <v>0.48</v>
      </c>
      <c r="AI12" s="10">
        <v>0.48</v>
      </c>
      <c r="AJ12" s="10">
        <v>0.48</v>
      </c>
      <c r="AK12" s="10">
        <v>0.48</v>
      </c>
      <c r="AL12" s="10">
        <v>0.48</v>
      </c>
      <c r="AM12" s="10">
        <v>0.48</v>
      </c>
      <c r="AN12" s="10">
        <v>0.48</v>
      </c>
      <c r="AO12" s="10">
        <v>0.48</v>
      </c>
      <c r="AP12" s="10">
        <v>0.48</v>
      </c>
      <c r="AQ12" s="10">
        <v>0.48</v>
      </c>
      <c r="AR12" s="10">
        <v>0.48</v>
      </c>
      <c r="AS12" s="10">
        <v>0.48</v>
      </c>
      <c r="AT12" s="10">
        <v>0.48</v>
      </c>
      <c r="AU12" s="10">
        <v>0.48</v>
      </c>
      <c r="AV12" s="10">
        <v>0.48</v>
      </c>
      <c r="AW12" s="10">
        <v>0.48</v>
      </c>
      <c r="AX12" s="10">
        <v>0.48</v>
      </c>
      <c r="AY12" s="10">
        <v>0.48</v>
      </c>
      <c r="AZ12" s="10">
        <v>0.48</v>
      </c>
      <c r="BA12" s="10">
        <v>0.48</v>
      </c>
      <c r="BB12" s="10">
        <v>0.48</v>
      </c>
      <c r="BC12" s="10">
        <v>0.48</v>
      </c>
      <c r="BD12" s="10">
        <v>0.48</v>
      </c>
      <c r="BE12" s="10">
        <v>0.48</v>
      </c>
      <c r="BF12" s="10">
        <v>0.48</v>
      </c>
      <c r="BG12" s="10">
        <v>0.48</v>
      </c>
      <c r="BH12" s="10">
        <v>0.48</v>
      </c>
      <c r="BI12" s="10">
        <v>0.48</v>
      </c>
      <c r="BJ12" s="10">
        <v>0.48</v>
      </c>
    </row>
    <row r="13" spans="1:62" ht="6.75" customHeight="1">
      <c r="A13" s="4"/>
      <c r="B13" s="23"/>
      <c r="C13" s="23"/>
      <c r="D13" s="23"/>
      <c r="E13" s="23"/>
      <c r="F13" s="10"/>
      <c r="G13" s="8"/>
      <c r="H13" s="8"/>
      <c r="I13" s="8"/>
      <c r="J13" s="10"/>
      <c r="K13" s="8"/>
      <c r="L13" s="8"/>
      <c r="M13" s="8"/>
      <c r="N13" s="10"/>
      <c r="O13" s="8"/>
      <c r="P13" s="8"/>
      <c r="Q13" s="8"/>
      <c r="R13" s="10"/>
      <c r="S13" s="8"/>
      <c r="T13" s="8"/>
      <c r="U13" s="8"/>
      <c r="V13" s="10"/>
      <c r="W13" s="8"/>
      <c r="X13" s="8"/>
      <c r="Y13" s="8"/>
      <c r="Z13" s="10"/>
      <c r="AA13" s="8"/>
      <c r="AB13" s="8"/>
      <c r="AC13" s="8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</row>
    <row r="14" spans="1:63" ht="12.75">
      <c r="A14" s="1" t="s">
        <v>9</v>
      </c>
      <c r="B14" s="22">
        <f>B15+B16</f>
        <v>21</v>
      </c>
      <c r="C14" s="22">
        <f>C15+C16</f>
        <v>21</v>
      </c>
      <c r="D14" s="22">
        <f>D15+D16</f>
        <v>22.5</v>
      </c>
      <c r="E14" s="22">
        <f>E15+E16</f>
        <v>22.5</v>
      </c>
      <c r="F14" s="11">
        <f aca="true" t="shared" si="10" ref="F14:Q14">F15+F16</f>
        <v>22.5</v>
      </c>
      <c r="G14" s="11">
        <f t="shared" si="10"/>
        <v>21.95</v>
      </c>
      <c r="H14" s="11">
        <f t="shared" si="10"/>
        <v>21.4</v>
      </c>
      <c r="I14" s="11">
        <f t="shared" si="10"/>
        <v>20</v>
      </c>
      <c r="J14" s="11">
        <f t="shared" si="10"/>
        <v>19.45</v>
      </c>
      <c r="K14" s="11">
        <f t="shared" si="10"/>
        <v>21.01</v>
      </c>
      <c r="L14" s="11">
        <f t="shared" si="10"/>
        <v>21.01</v>
      </c>
      <c r="M14" s="11">
        <f t="shared" si="10"/>
        <v>19.75</v>
      </c>
      <c r="N14" s="11">
        <f t="shared" si="10"/>
        <v>19.65</v>
      </c>
      <c r="O14" s="11">
        <f t="shared" si="10"/>
        <v>20.9</v>
      </c>
      <c r="P14" s="11">
        <f t="shared" si="10"/>
        <v>19.53</v>
      </c>
      <c r="Q14" s="11">
        <f t="shared" si="10"/>
        <v>20</v>
      </c>
      <c r="R14" s="11">
        <f aca="true" t="shared" si="11" ref="R14:AC14">R15+R16</f>
        <v>19.2</v>
      </c>
      <c r="S14" s="11">
        <f t="shared" si="11"/>
        <v>19.2</v>
      </c>
      <c r="T14" s="11">
        <f t="shared" si="11"/>
        <v>20.5</v>
      </c>
      <c r="U14" s="11">
        <f t="shared" si="11"/>
        <v>16.5</v>
      </c>
      <c r="V14" s="11">
        <f t="shared" si="11"/>
        <v>15.5</v>
      </c>
      <c r="W14" s="11">
        <f t="shared" si="11"/>
        <v>14.4</v>
      </c>
      <c r="X14" s="11">
        <f t="shared" si="11"/>
        <v>14.5</v>
      </c>
      <c r="Y14" s="11">
        <f t="shared" si="11"/>
        <v>13.5</v>
      </c>
      <c r="Z14" s="11">
        <f t="shared" si="11"/>
        <v>12.75</v>
      </c>
      <c r="AA14" s="11">
        <f t="shared" si="11"/>
        <v>12.75</v>
      </c>
      <c r="AB14" s="11">
        <f t="shared" si="11"/>
        <v>11.5</v>
      </c>
      <c r="AC14" s="11">
        <f t="shared" si="11"/>
        <v>10.5</v>
      </c>
      <c r="AD14" s="11">
        <f aca="true" t="shared" si="12" ref="AD14:AV14">AD15+AD16</f>
        <v>10.5</v>
      </c>
      <c r="AE14" s="11">
        <f t="shared" si="12"/>
        <v>9.75</v>
      </c>
      <c r="AF14" s="11">
        <f>AF15+AF16</f>
        <v>9.75</v>
      </c>
      <c r="AG14" s="11">
        <f>AG15+AG16</f>
        <v>9.75</v>
      </c>
      <c r="AH14" s="11">
        <f t="shared" si="12"/>
        <v>9.75</v>
      </c>
      <c r="AI14" s="11">
        <f t="shared" si="12"/>
        <v>8.75</v>
      </c>
      <c r="AJ14" s="11">
        <f t="shared" si="12"/>
        <v>8.75</v>
      </c>
      <c r="AK14" s="11">
        <f t="shared" si="12"/>
        <v>7.5</v>
      </c>
      <c r="AL14" s="11">
        <f>AL15+AL16</f>
        <v>7.5</v>
      </c>
      <c r="AM14" s="11">
        <f>AM15+AM16</f>
        <v>7.5</v>
      </c>
      <c r="AN14" s="11">
        <f t="shared" si="12"/>
        <v>7.5</v>
      </c>
      <c r="AO14" s="11">
        <f>AO15+AO16</f>
        <v>7.5</v>
      </c>
      <c r="AP14" s="11">
        <f t="shared" si="12"/>
        <v>7.5</v>
      </c>
      <c r="AQ14" s="11">
        <f t="shared" si="12"/>
        <v>7.5</v>
      </c>
      <c r="AR14" s="11">
        <f>AR15+AR16</f>
        <v>7.5</v>
      </c>
      <c r="AS14" s="11">
        <f>AS15+AS16</f>
        <v>7.5</v>
      </c>
      <c r="AT14" s="11">
        <f t="shared" si="12"/>
        <v>7.5</v>
      </c>
      <c r="AU14" s="11">
        <f t="shared" si="12"/>
        <v>7.5</v>
      </c>
      <c r="AV14" s="11">
        <f t="shared" si="12"/>
        <v>7.5</v>
      </c>
      <c r="AW14" s="11">
        <f aca="true" t="shared" si="13" ref="AW14:BB14">AW15+AW16</f>
        <v>7.5</v>
      </c>
      <c r="AX14" s="11">
        <f t="shared" si="13"/>
        <v>7.5</v>
      </c>
      <c r="AY14" s="11">
        <f t="shared" si="13"/>
        <v>7.5</v>
      </c>
      <c r="AZ14" s="11">
        <f t="shared" si="13"/>
        <v>7.5</v>
      </c>
      <c r="BA14" s="11">
        <f t="shared" si="13"/>
        <v>6.25</v>
      </c>
      <c r="BB14" s="11">
        <f t="shared" si="13"/>
        <v>6.25</v>
      </c>
      <c r="BC14" s="11">
        <f aca="true" t="shared" si="14" ref="BC14:BJ14">BC15+BC16</f>
        <v>5.5</v>
      </c>
      <c r="BD14" s="11">
        <f t="shared" si="14"/>
        <v>5.5</v>
      </c>
      <c r="BE14" s="11">
        <f t="shared" si="14"/>
        <v>5.5</v>
      </c>
      <c r="BF14" s="11">
        <f t="shared" si="14"/>
        <v>5.5</v>
      </c>
      <c r="BG14" s="11">
        <f t="shared" si="14"/>
        <v>5.5</v>
      </c>
      <c r="BH14" s="11">
        <f t="shared" si="14"/>
        <v>4.75</v>
      </c>
      <c r="BI14" s="11">
        <f t="shared" si="14"/>
        <v>4.75</v>
      </c>
      <c r="BJ14" s="11">
        <f t="shared" si="14"/>
        <v>3.75</v>
      </c>
      <c r="BK14" s="11"/>
    </row>
    <row r="15" spans="1:62" ht="12.75" hidden="1">
      <c r="A15" s="4" t="s">
        <v>4</v>
      </c>
      <c r="B15" s="23">
        <v>3.74</v>
      </c>
      <c r="C15" s="23">
        <v>1.98</v>
      </c>
      <c r="D15" s="23">
        <v>3.52</v>
      </c>
      <c r="E15" s="23">
        <v>3.6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</row>
    <row r="16" spans="1:62" ht="12.75" hidden="1">
      <c r="A16" s="4" t="s">
        <v>6</v>
      </c>
      <c r="B16" s="23">
        <v>17.26</v>
      </c>
      <c r="C16" s="23">
        <v>19.02</v>
      </c>
      <c r="D16" s="23">
        <v>18.98</v>
      </c>
      <c r="E16" s="23">
        <v>18.9</v>
      </c>
      <c r="F16" s="10">
        <v>22.5</v>
      </c>
      <c r="G16" s="8">
        <v>21.95</v>
      </c>
      <c r="H16" s="8">
        <v>21.4</v>
      </c>
      <c r="I16" s="8">
        <v>20</v>
      </c>
      <c r="J16" s="10">
        <v>19.45</v>
      </c>
      <c r="K16" s="8">
        <v>21.01</v>
      </c>
      <c r="L16" s="8">
        <v>21.01</v>
      </c>
      <c r="M16" s="8">
        <v>19.75</v>
      </c>
      <c r="N16" s="10">
        <v>19.65</v>
      </c>
      <c r="O16" s="8">
        <v>20.9</v>
      </c>
      <c r="P16" s="8">
        <v>19.53</v>
      </c>
      <c r="Q16" s="8">
        <v>20</v>
      </c>
      <c r="R16" s="10">
        <v>19.2</v>
      </c>
      <c r="S16" s="8">
        <v>19.2</v>
      </c>
      <c r="T16" s="8">
        <v>20.5</v>
      </c>
      <c r="U16" s="8">
        <v>16.5</v>
      </c>
      <c r="V16" s="10">
        <v>15.5</v>
      </c>
      <c r="W16" s="8">
        <v>14.4</v>
      </c>
      <c r="X16" s="8">
        <v>14.5</v>
      </c>
      <c r="Y16" s="8">
        <v>13.5</v>
      </c>
      <c r="Z16" s="10">
        <v>12.75</v>
      </c>
      <c r="AA16" s="8">
        <v>12.75</v>
      </c>
      <c r="AB16" s="8">
        <v>11.5</v>
      </c>
      <c r="AC16" s="8">
        <v>10.5</v>
      </c>
      <c r="AD16" s="10">
        <v>10.5</v>
      </c>
      <c r="AE16" s="10">
        <v>9.75</v>
      </c>
      <c r="AF16" s="10">
        <v>9.75</v>
      </c>
      <c r="AG16" s="10">
        <v>9.75</v>
      </c>
      <c r="AH16" s="10">
        <v>9.75</v>
      </c>
      <c r="AI16" s="10">
        <v>8.75</v>
      </c>
      <c r="AJ16" s="10">
        <v>8.75</v>
      </c>
      <c r="AK16" s="10">
        <v>7.5</v>
      </c>
      <c r="AL16" s="10">
        <v>7.5</v>
      </c>
      <c r="AM16" s="10">
        <v>7.5</v>
      </c>
      <c r="AN16" s="10">
        <v>7.5</v>
      </c>
      <c r="AO16" s="10">
        <v>7.5</v>
      </c>
      <c r="AP16" s="10">
        <v>7.5</v>
      </c>
      <c r="AQ16" s="10">
        <v>7.5</v>
      </c>
      <c r="AR16" s="10">
        <v>7.5</v>
      </c>
      <c r="AS16" s="10">
        <v>7.5</v>
      </c>
      <c r="AT16" s="10">
        <v>7.5</v>
      </c>
      <c r="AU16" s="10">
        <v>7.5</v>
      </c>
      <c r="AV16" s="10">
        <v>7.5</v>
      </c>
      <c r="AW16" s="10">
        <v>7.5</v>
      </c>
      <c r="AX16" s="10">
        <v>7.5</v>
      </c>
      <c r="AY16" s="10">
        <v>7.5</v>
      </c>
      <c r="AZ16" s="10">
        <v>7.5</v>
      </c>
      <c r="BA16" s="10">
        <v>6.25</v>
      </c>
      <c r="BB16" s="10">
        <v>6.25</v>
      </c>
      <c r="BC16" s="10">
        <v>5.5</v>
      </c>
      <c r="BD16" s="10">
        <v>5.5</v>
      </c>
      <c r="BE16" s="10">
        <v>5.5</v>
      </c>
      <c r="BF16" s="10">
        <v>5.5</v>
      </c>
      <c r="BG16" s="10">
        <v>5.5</v>
      </c>
      <c r="BH16" s="10">
        <v>4.75</v>
      </c>
      <c r="BI16" s="10">
        <v>4.75</v>
      </c>
      <c r="BJ16" s="10">
        <v>3.75</v>
      </c>
    </row>
    <row r="17" spans="1:62" ht="6" customHeight="1">
      <c r="A17" s="4"/>
      <c r="B17" s="23"/>
      <c r="C17" s="23"/>
      <c r="D17" s="23"/>
      <c r="E17" s="23"/>
      <c r="F17" s="10"/>
      <c r="G17" s="8"/>
      <c r="H17" s="8"/>
      <c r="I17" s="8"/>
      <c r="J17" s="10"/>
      <c r="K17" s="8"/>
      <c r="L17" s="8"/>
      <c r="M17" s="8"/>
      <c r="N17" s="10"/>
      <c r="O17" s="8"/>
      <c r="P17" s="8"/>
      <c r="Q17" s="8"/>
      <c r="R17" s="10"/>
      <c r="S17" s="8"/>
      <c r="T17" s="8"/>
      <c r="U17" s="8"/>
      <c r="V17" s="10"/>
      <c r="W17" s="8"/>
      <c r="X17" s="8"/>
      <c r="Y17" s="8"/>
      <c r="Z17" s="10"/>
      <c r="AA17" s="8"/>
      <c r="AB17" s="8"/>
      <c r="AC17" s="8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</row>
    <row r="18" spans="1:63" ht="12.75">
      <c r="A18" s="1" t="s">
        <v>10</v>
      </c>
      <c r="B18" s="22">
        <f>B19</f>
        <v>9.3</v>
      </c>
      <c r="C18" s="22">
        <f>C19</f>
        <v>9.09</v>
      </c>
      <c r="D18" s="22">
        <f>D19</f>
        <v>10.47</v>
      </c>
      <c r="E18" s="22">
        <f>E19</f>
        <v>13.33</v>
      </c>
      <c r="F18" s="11">
        <f aca="true" t="shared" si="15" ref="F18:Q18">F19</f>
        <v>15.16</v>
      </c>
      <c r="G18" s="11">
        <f t="shared" si="15"/>
        <v>15.14</v>
      </c>
      <c r="H18" s="11">
        <f t="shared" si="15"/>
        <v>16.43</v>
      </c>
      <c r="I18" s="11">
        <f t="shared" si="15"/>
        <v>17.95</v>
      </c>
      <c r="J18" s="11">
        <f t="shared" si="15"/>
        <v>17.29</v>
      </c>
      <c r="K18" s="11">
        <f t="shared" si="15"/>
        <v>17.13</v>
      </c>
      <c r="L18" s="11">
        <f t="shared" si="15"/>
        <v>17.33</v>
      </c>
      <c r="M18" s="11">
        <f t="shared" si="15"/>
        <v>23.79</v>
      </c>
      <c r="N18" s="11">
        <f t="shared" si="15"/>
        <v>28.55</v>
      </c>
      <c r="O18" s="11">
        <f t="shared" si="15"/>
        <v>31.33</v>
      </c>
      <c r="P18" s="11">
        <f t="shared" si="15"/>
        <v>35.29</v>
      </c>
      <c r="Q18" s="11">
        <f t="shared" si="15"/>
        <v>45.66</v>
      </c>
      <c r="R18" s="11">
        <f aca="true" t="shared" si="16" ref="R18:BJ18">R19</f>
        <v>47.6</v>
      </c>
      <c r="S18" s="11">
        <f t="shared" si="16"/>
        <v>49</v>
      </c>
      <c r="T18" s="11">
        <f t="shared" si="16"/>
        <v>50.6</v>
      </c>
      <c r="U18" s="11">
        <f t="shared" si="16"/>
        <v>53.6</v>
      </c>
      <c r="V18" s="11">
        <f t="shared" si="16"/>
        <v>60.2</v>
      </c>
      <c r="W18" s="11">
        <f t="shared" si="16"/>
        <v>63.6</v>
      </c>
      <c r="X18" s="11">
        <f t="shared" si="16"/>
        <v>67</v>
      </c>
      <c r="Y18" s="11">
        <f t="shared" si="16"/>
        <v>69.31</v>
      </c>
      <c r="Z18" s="11">
        <f t="shared" si="16"/>
        <v>71.67</v>
      </c>
      <c r="AA18" s="11">
        <f t="shared" si="16"/>
        <v>67.41</v>
      </c>
      <c r="AB18" s="11">
        <f t="shared" si="16"/>
        <v>71.02</v>
      </c>
      <c r="AC18" s="11">
        <f t="shared" si="16"/>
        <v>73.87</v>
      </c>
      <c r="AD18" s="11">
        <f t="shared" si="16"/>
        <v>79.29</v>
      </c>
      <c r="AE18" s="11">
        <f t="shared" si="16"/>
        <v>78.58</v>
      </c>
      <c r="AF18" s="11">
        <f t="shared" si="16"/>
        <v>78.27</v>
      </c>
      <c r="AG18" s="11">
        <f t="shared" si="16"/>
        <v>77.865</v>
      </c>
      <c r="AH18" s="11">
        <f t="shared" si="16"/>
        <v>79</v>
      </c>
      <c r="AI18" s="11">
        <f t="shared" si="16"/>
        <v>80.35</v>
      </c>
      <c r="AJ18" s="11">
        <f t="shared" si="16"/>
        <v>82.37</v>
      </c>
      <c r="AK18" s="11">
        <f t="shared" si="16"/>
        <v>82.33</v>
      </c>
      <c r="AL18" s="11">
        <f t="shared" si="16"/>
        <v>83.017</v>
      </c>
      <c r="AM18" s="11">
        <f t="shared" si="16"/>
        <v>81.864</v>
      </c>
      <c r="AN18" s="11">
        <f t="shared" si="16"/>
        <v>81.91</v>
      </c>
      <c r="AO18" s="11">
        <f t="shared" si="16"/>
        <v>81.224</v>
      </c>
      <c r="AP18" s="11">
        <f t="shared" si="16"/>
        <v>82.955</v>
      </c>
      <c r="AQ18" s="11">
        <f t="shared" si="16"/>
        <v>82.11</v>
      </c>
      <c r="AR18" s="11">
        <f t="shared" si="16"/>
        <v>82</v>
      </c>
      <c r="AS18" s="11">
        <f t="shared" si="16"/>
        <v>81.553</v>
      </c>
      <c r="AT18" s="11">
        <f t="shared" si="16"/>
        <v>81.25</v>
      </c>
      <c r="AU18" s="11">
        <f t="shared" si="16"/>
        <v>80.47</v>
      </c>
      <c r="AV18" s="11">
        <f t="shared" si="16"/>
        <v>79.15</v>
      </c>
      <c r="AW18" s="11">
        <f t="shared" si="16"/>
        <v>79.15</v>
      </c>
      <c r="AX18" s="11">
        <f t="shared" si="16"/>
        <v>77.994</v>
      </c>
      <c r="AY18" s="11">
        <f t="shared" si="16"/>
        <v>77.292</v>
      </c>
      <c r="AZ18" s="11">
        <f t="shared" si="16"/>
        <v>76.7</v>
      </c>
      <c r="BA18" s="11">
        <f t="shared" si="16"/>
        <v>76.721</v>
      </c>
      <c r="BB18" s="11">
        <f t="shared" si="16"/>
        <v>76.435</v>
      </c>
      <c r="BC18" s="11">
        <f t="shared" si="16"/>
        <v>76.456</v>
      </c>
      <c r="BD18" s="11">
        <f t="shared" si="16"/>
        <v>76.194</v>
      </c>
      <c r="BE18" s="11">
        <f t="shared" si="16"/>
        <v>76.034</v>
      </c>
      <c r="BF18" s="11">
        <f t="shared" si="16"/>
        <v>75.396</v>
      </c>
      <c r="BG18" s="11">
        <f t="shared" si="16"/>
        <v>75.24</v>
      </c>
      <c r="BH18" s="11">
        <f t="shared" si="16"/>
        <v>74.93</v>
      </c>
      <c r="BI18" s="11">
        <f t="shared" si="16"/>
        <v>73.805</v>
      </c>
      <c r="BJ18" s="11">
        <f t="shared" si="16"/>
        <v>71.4945</v>
      </c>
      <c r="BK18" s="11"/>
    </row>
    <row r="19" spans="1:62" ht="12.75">
      <c r="A19" s="4" t="s">
        <v>6</v>
      </c>
      <c r="B19" s="23">
        <v>9.3</v>
      </c>
      <c r="C19" s="23">
        <v>9.09</v>
      </c>
      <c r="D19" s="23">
        <v>10.47</v>
      </c>
      <c r="E19" s="23">
        <v>13.33</v>
      </c>
      <c r="F19" s="10">
        <v>15.16</v>
      </c>
      <c r="G19" s="8">
        <v>15.14</v>
      </c>
      <c r="H19" s="8">
        <v>16.43</v>
      </c>
      <c r="I19" s="8">
        <v>17.95</v>
      </c>
      <c r="J19" s="10">
        <v>17.29</v>
      </c>
      <c r="K19" s="8">
        <v>17.13</v>
      </c>
      <c r="L19" s="8">
        <v>17.33</v>
      </c>
      <c r="M19" s="8">
        <v>23.79</v>
      </c>
      <c r="N19" s="10">
        <v>28.55</v>
      </c>
      <c r="O19" s="8">
        <v>31.33</v>
      </c>
      <c r="P19" s="8">
        <v>35.29</v>
      </c>
      <c r="Q19" s="8">
        <v>45.66</v>
      </c>
      <c r="R19" s="10">
        <v>47.6</v>
      </c>
      <c r="S19" s="8">
        <v>49</v>
      </c>
      <c r="T19" s="8">
        <v>50.6</v>
      </c>
      <c r="U19" s="8">
        <v>53.6</v>
      </c>
      <c r="V19" s="10">
        <v>60.2</v>
      </c>
      <c r="W19" s="8">
        <v>63.6</v>
      </c>
      <c r="X19" s="8">
        <v>67</v>
      </c>
      <c r="Y19" s="8">
        <v>69.31</v>
      </c>
      <c r="Z19" s="10">
        <v>71.67</v>
      </c>
      <c r="AA19" s="8">
        <v>67.41</v>
      </c>
      <c r="AB19" s="8">
        <v>71.02</v>
      </c>
      <c r="AC19" s="8">
        <v>73.87</v>
      </c>
      <c r="AD19" s="10">
        <v>79.29</v>
      </c>
      <c r="AE19" s="10">
        <v>78.58</v>
      </c>
      <c r="AF19" s="10">
        <v>78.27</v>
      </c>
      <c r="AG19" s="10">
        <v>77.865</v>
      </c>
      <c r="AH19" s="10">
        <v>79</v>
      </c>
      <c r="AI19" s="10">
        <v>80.35</v>
      </c>
      <c r="AJ19" s="10">
        <v>82.37</v>
      </c>
      <c r="AK19" s="10">
        <v>82.33</v>
      </c>
      <c r="AL19" s="10">
        <v>83.017</v>
      </c>
      <c r="AM19" s="10">
        <v>81.864</v>
      </c>
      <c r="AN19" s="10">
        <v>81.91</v>
      </c>
      <c r="AO19" s="10">
        <v>81.224</v>
      </c>
      <c r="AP19" s="10">
        <f>82.955</f>
        <v>82.955</v>
      </c>
      <c r="AQ19" s="10">
        <v>82.11</v>
      </c>
      <c r="AR19" s="10">
        <v>82</v>
      </c>
      <c r="AS19" s="10">
        <v>81.553</v>
      </c>
      <c r="AT19" s="10">
        <v>81.25</v>
      </c>
      <c r="AU19" s="10">
        <v>80.47</v>
      </c>
      <c r="AV19" s="10">
        <v>79.15</v>
      </c>
      <c r="AW19" s="10">
        <v>79.15</v>
      </c>
      <c r="AX19" s="10">
        <v>77.994</v>
      </c>
      <c r="AY19" s="10">
        <v>77.292</v>
      </c>
      <c r="AZ19" s="10">
        <v>76.7</v>
      </c>
      <c r="BA19" s="10">
        <v>76.721</v>
      </c>
      <c r="BB19" s="10">
        <v>76.435</v>
      </c>
      <c r="BC19" s="10">
        <v>76.456</v>
      </c>
      <c r="BD19" s="10">
        <v>76.194</v>
      </c>
      <c r="BE19" s="10">
        <v>76.034</v>
      </c>
      <c r="BF19" s="10">
        <v>75.396</v>
      </c>
      <c r="BG19" s="10">
        <v>75.24</v>
      </c>
      <c r="BH19" s="10">
        <v>74.93</v>
      </c>
      <c r="BI19" s="10">
        <v>73.805</v>
      </c>
      <c r="BJ19" s="10">
        <v>71.4945</v>
      </c>
    </row>
    <row r="20" spans="1:62" ht="6.75" customHeight="1">
      <c r="A20" s="4"/>
      <c r="B20" s="23"/>
      <c r="C20" s="23"/>
      <c r="D20" s="23"/>
      <c r="E20" s="23"/>
      <c r="F20" s="10"/>
      <c r="G20" s="8"/>
      <c r="H20" s="8"/>
      <c r="I20" s="8"/>
      <c r="J20" s="10"/>
      <c r="K20" s="8"/>
      <c r="L20" s="8"/>
      <c r="M20" s="8"/>
      <c r="N20" s="10"/>
      <c r="O20" s="8"/>
      <c r="P20" s="8"/>
      <c r="Q20" s="8"/>
      <c r="R20" s="10"/>
      <c r="S20" s="8"/>
      <c r="T20" s="8"/>
      <c r="U20" s="8"/>
      <c r="V20" s="10"/>
      <c r="W20" s="8"/>
      <c r="X20" s="8"/>
      <c r="Y20" s="8"/>
      <c r="Z20" s="10"/>
      <c r="AA20" s="8"/>
      <c r="AB20" s="8"/>
      <c r="AC20" s="8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</row>
    <row r="21" spans="1:63" ht="12.75">
      <c r="A21" s="1" t="s">
        <v>11</v>
      </c>
      <c r="B21" s="22">
        <f>B22</f>
        <v>0</v>
      </c>
      <c r="C21" s="22">
        <f>C22</f>
        <v>0</v>
      </c>
      <c r="D21" s="22">
        <f>D22</f>
        <v>0</v>
      </c>
      <c r="E21" s="22">
        <f>E22+E23</f>
        <v>107</v>
      </c>
      <c r="F21" s="11">
        <f aca="true" t="shared" si="17" ref="F21:Q21">F22+F23</f>
        <v>107</v>
      </c>
      <c r="G21" s="11">
        <f t="shared" si="17"/>
        <v>107</v>
      </c>
      <c r="H21" s="11">
        <f t="shared" si="17"/>
        <v>107</v>
      </c>
      <c r="I21" s="11">
        <f t="shared" si="17"/>
        <v>112.8</v>
      </c>
      <c r="J21" s="11">
        <f t="shared" si="17"/>
        <v>112.8</v>
      </c>
      <c r="K21" s="11">
        <f t="shared" si="17"/>
        <v>112.8</v>
      </c>
      <c r="L21" s="11">
        <f t="shared" si="17"/>
        <v>112.8</v>
      </c>
      <c r="M21" s="11">
        <f t="shared" si="17"/>
        <v>119.2</v>
      </c>
      <c r="N21" s="11">
        <f t="shared" si="17"/>
        <v>119.2</v>
      </c>
      <c r="O21" s="11">
        <f t="shared" si="17"/>
        <v>119.2</v>
      </c>
      <c r="P21" s="11">
        <f t="shared" si="17"/>
        <v>119.2</v>
      </c>
      <c r="Q21" s="11">
        <f t="shared" si="17"/>
        <v>146.7</v>
      </c>
      <c r="R21" s="11">
        <f aca="true" t="shared" si="18" ref="R21:AC21">R22+R23</f>
        <v>146.7</v>
      </c>
      <c r="S21" s="11">
        <f t="shared" si="18"/>
        <v>146.7</v>
      </c>
      <c r="T21" s="11">
        <f t="shared" si="18"/>
        <v>1107.77</v>
      </c>
      <c r="U21" s="11">
        <f t="shared" si="18"/>
        <v>1115.77</v>
      </c>
      <c r="V21" s="11">
        <f t="shared" si="18"/>
        <v>1115.77</v>
      </c>
      <c r="W21" s="11">
        <f t="shared" si="18"/>
        <v>1115.77</v>
      </c>
      <c r="X21" s="11">
        <f t="shared" si="18"/>
        <v>1115.77</v>
      </c>
      <c r="Y21" s="11">
        <f t="shared" si="18"/>
        <v>1121.77</v>
      </c>
      <c r="Z21" s="11">
        <f t="shared" si="18"/>
        <v>1121.77</v>
      </c>
      <c r="AA21" s="11">
        <f t="shared" si="18"/>
        <v>1121.77</v>
      </c>
      <c r="AB21" s="11">
        <f t="shared" si="18"/>
        <v>1121.77</v>
      </c>
      <c r="AC21" s="11">
        <f t="shared" si="18"/>
        <v>1127.77</v>
      </c>
      <c r="AD21" s="11">
        <f aca="true" t="shared" si="19" ref="AD21:AV21">AD22+AD23</f>
        <v>1127.77</v>
      </c>
      <c r="AE21" s="11">
        <f t="shared" si="19"/>
        <v>1127.77</v>
      </c>
      <c r="AF21" s="11">
        <f>AF22+AF23</f>
        <v>1127.77</v>
      </c>
      <c r="AG21" s="11">
        <f>AG22+AG23</f>
        <v>1127.77</v>
      </c>
      <c r="AH21" s="11">
        <f t="shared" si="19"/>
        <v>1127.77</v>
      </c>
      <c r="AI21" s="11">
        <f t="shared" si="19"/>
        <v>1127.77</v>
      </c>
      <c r="AJ21" s="11">
        <f t="shared" si="19"/>
        <v>1127.77</v>
      </c>
      <c r="AK21" s="11">
        <f t="shared" si="19"/>
        <v>1134.67</v>
      </c>
      <c r="AL21" s="11">
        <f>AL22+AL23</f>
        <v>1134.67</v>
      </c>
      <c r="AM21" s="11">
        <f>AM22+AM23</f>
        <v>1134.67</v>
      </c>
      <c r="AN21" s="11">
        <f t="shared" si="19"/>
        <v>1134.67</v>
      </c>
      <c r="AO21" s="11">
        <f>AO22+AO23</f>
        <v>1134.67</v>
      </c>
      <c r="AP21" s="11">
        <f t="shared" si="19"/>
        <v>1134.67</v>
      </c>
      <c r="AQ21" s="11">
        <f t="shared" si="19"/>
        <v>1134.67</v>
      </c>
      <c r="AR21" s="11">
        <f>AR22+AR23</f>
        <v>1134.67</v>
      </c>
      <c r="AS21" s="11">
        <f>AS22+AS23</f>
        <v>1134.67</v>
      </c>
      <c r="AT21" s="11">
        <f t="shared" si="19"/>
        <v>1134.67</v>
      </c>
      <c r="AU21" s="11">
        <f t="shared" si="19"/>
        <v>1134.67</v>
      </c>
      <c r="AV21" s="11">
        <f t="shared" si="19"/>
        <v>1134.67</v>
      </c>
      <c r="AW21" s="11">
        <f aca="true" t="shared" si="20" ref="AW21:BB21">AW22+AW23</f>
        <v>1134.67</v>
      </c>
      <c r="AX21" s="11">
        <f t="shared" si="20"/>
        <v>1142.67</v>
      </c>
      <c r="AY21" s="11">
        <f t="shared" si="20"/>
        <v>1142.67</v>
      </c>
      <c r="AZ21" s="11">
        <f t="shared" si="20"/>
        <v>1142.67</v>
      </c>
      <c r="BA21" s="11">
        <f t="shared" si="20"/>
        <v>1142.67</v>
      </c>
      <c r="BB21" s="11">
        <f t="shared" si="20"/>
        <v>1142.67</v>
      </c>
      <c r="BC21" s="11">
        <f aca="true" t="shared" si="21" ref="BC21:BH21">BC22+BC23</f>
        <v>1142.67</v>
      </c>
      <c r="BD21" s="11">
        <f t="shared" si="21"/>
        <v>1142.67</v>
      </c>
      <c r="BE21" s="11">
        <f t="shared" si="21"/>
        <v>1142.67</v>
      </c>
      <c r="BF21" s="11">
        <f t="shared" si="21"/>
        <v>1142.67</v>
      </c>
      <c r="BG21" s="11">
        <f t="shared" si="21"/>
        <v>1142.67</v>
      </c>
      <c r="BH21" s="11">
        <f t="shared" si="21"/>
        <v>1142.67</v>
      </c>
      <c r="BI21" s="11">
        <f>BI22+BI23</f>
        <v>1142.67</v>
      </c>
      <c r="BJ21" s="11">
        <f>BJ22+BJ23</f>
        <v>1149.67</v>
      </c>
      <c r="BK21" s="11"/>
    </row>
    <row r="22" spans="1:62" ht="12.75">
      <c r="A22" s="4" t="s">
        <v>4</v>
      </c>
      <c r="B22" s="23">
        <v>0</v>
      </c>
      <c r="C22" s="23">
        <v>0</v>
      </c>
      <c r="D22" s="23">
        <v>0</v>
      </c>
      <c r="E22" s="23">
        <v>0</v>
      </c>
      <c r="F22" s="10">
        <v>0</v>
      </c>
      <c r="G22" s="8">
        <v>0</v>
      </c>
      <c r="H22" s="8">
        <v>0</v>
      </c>
      <c r="I22" s="8">
        <v>0</v>
      </c>
      <c r="J22" s="10">
        <v>0</v>
      </c>
      <c r="K22" s="8">
        <v>0</v>
      </c>
      <c r="L22" s="8">
        <v>0</v>
      </c>
      <c r="M22" s="8">
        <v>0</v>
      </c>
      <c r="N22" s="10">
        <v>0</v>
      </c>
      <c r="O22" s="8">
        <v>0</v>
      </c>
      <c r="P22" s="8">
        <v>0</v>
      </c>
      <c r="Q22" s="8">
        <v>0</v>
      </c>
      <c r="R22" s="10">
        <v>0</v>
      </c>
      <c r="S22" s="8">
        <v>0</v>
      </c>
      <c r="T22" s="8">
        <v>961.07</v>
      </c>
      <c r="U22" s="8">
        <v>961.07</v>
      </c>
      <c r="V22" s="10">
        <v>961.07</v>
      </c>
      <c r="W22" s="8">
        <v>961.07</v>
      </c>
      <c r="X22" s="8">
        <v>961.07</v>
      </c>
      <c r="Y22" s="8">
        <v>961.07</v>
      </c>
      <c r="Z22" s="10">
        <v>961.07</v>
      </c>
      <c r="AA22" s="8">
        <v>961.07</v>
      </c>
      <c r="AB22" s="8">
        <v>961.07</v>
      </c>
      <c r="AC22" s="8">
        <v>961.07</v>
      </c>
      <c r="AD22" s="10">
        <v>961.07</v>
      </c>
      <c r="AE22" s="10">
        <v>961.07</v>
      </c>
      <c r="AF22" s="10">
        <v>961.07</v>
      </c>
      <c r="AG22" s="10">
        <v>961.07</v>
      </c>
      <c r="AH22" s="10">
        <v>961.07</v>
      </c>
      <c r="AI22" s="10">
        <v>961.07</v>
      </c>
      <c r="AJ22" s="10">
        <v>961.07</v>
      </c>
      <c r="AK22" s="10">
        <v>961.07</v>
      </c>
      <c r="AL22" s="10">
        <v>961.07</v>
      </c>
      <c r="AM22" s="10">
        <v>961.07</v>
      </c>
      <c r="AN22" s="10">
        <v>961.07</v>
      </c>
      <c r="AO22" s="10">
        <v>961.07</v>
      </c>
      <c r="AP22" s="10">
        <v>961.07</v>
      </c>
      <c r="AQ22" s="10">
        <v>961.07</v>
      </c>
      <c r="AR22" s="10">
        <v>961.07</v>
      </c>
      <c r="AS22" s="10">
        <v>961.07</v>
      </c>
      <c r="AT22" s="10">
        <v>961.07</v>
      </c>
      <c r="AU22" s="10">
        <v>961.07</v>
      </c>
      <c r="AV22" s="10">
        <v>961.07</v>
      </c>
      <c r="AW22" s="10">
        <v>961.07</v>
      </c>
      <c r="AX22" s="10">
        <v>961.07</v>
      </c>
      <c r="AY22" s="10">
        <v>961.07</v>
      </c>
      <c r="AZ22" s="10">
        <v>961.07</v>
      </c>
      <c r="BA22" s="10">
        <v>961.07</v>
      </c>
      <c r="BB22" s="10">
        <v>961.07</v>
      </c>
      <c r="BC22" s="10">
        <v>961.07</v>
      </c>
      <c r="BD22" s="10">
        <v>961.07</v>
      </c>
      <c r="BE22" s="10">
        <v>961.07</v>
      </c>
      <c r="BF22" s="10">
        <v>961.07</v>
      </c>
      <c r="BG22" s="10">
        <v>961.07</v>
      </c>
      <c r="BH22" s="10">
        <v>961.07</v>
      </c>
      <c r="BI22" s="10">
        <v>961.07</v>
      </c>
      <c r="BJ22" s="10">
        <v>961.07</v>
      </c>
    </row>
    <row r="23" spans="1:62" ht="12.75">
      <c r="A23" s="4" t="s">
        <v>12</v>
      </c>
      <c r="B23" s="23"/>
      <c r="C23" s="23"/>
      <c r="D23" s="23"/>
      <c r="E23" s="23">
        <v>107</v>
      </c>
      <c r="F23" s="10">
        <v>107</v>
      </c>
      <c r="G23" s="10">
        <v>107</v>
      </c>
      <c r="H23" s="10">
        <v>107</v>
      </c>
      <c r="I23" s="8">
        <v>112.8</v>
      </c>
      <c r="J23" s="10">
        <v>112.8</v>
      </c>
      <c r="K23" s="10">
        <v>112.8</v>
      </c>
      <c r="L23" s="10">
        <v>112.8</v>
      </c>
      <c r="M23" s="8">
        <v>119.2</v>
      </c>
      <c r="N23" s="10">
        <v>119.2</v>
      </c>
      <c r="O23" s="10">
        <v>119.2</v>
      </c>
      <c r="P23" s="10">
        <v>119.2</v>
      </c>
      <c r="Q23" s="8">
        <v>146.7</v>
      </c>
      <c r="R23" s="10">
        <v>146.7</v>
      </c>
      <c r="S23" s="10">
        <v>146.7</v>
      </c>
      <c r="T23" s="10">
        <v>146.7</v>
      </c>
      <c r="U23" s="8">
        <v>154.7</v>
      </c>
      <c r="V23" s="10">
        <v>154.7</v>
      </c>
      <c r="W23" s="10">
        <v>154.7</v>
      </c>
      <c r="X23" s="10">
        <v>154.7</v>
      </c>
      <c r="Y23" s="8">
        <v>160.7</v>
      </c>
      <c r="Z23" s="10">
        <v>160.7</v>
      </c>
      <c r="AA23" s="10">
        <v>160.7</v>
      </c>
      <c r="AB23" s="10">
        <v>160.7</v>
      </c>
      <c r="AC23" s="8">
        <v>166.7</v>
      </c>
      <c r="AD23" s="10">
        <v>166.7</v>
      </c>
      <c r="AE23" s="10">
        <v>166.7</v>
      </c>
      <c r="AF23" s="10">
        <v>166.7</v>
      </c>
      <c r="AG23" s="10">
        <v>166.7</v>
      </c>
      <c r="AH23" s="10">
        <v>166.7</v>
      </c>
      <c r="AI23" s="10">
        <v>166.7</v>
      </c>
      <c r="AJ23" s="10">
        <v>166.7</v>
      </c>
      <c r="AK23" s="10">
        <v>173.6</v>
      </c>
      <c r="AL23" s="10">
        <v>173.6</v>
      </c>
      <c r="AM23" s="10">
        <v>173.6</v>
      </c>
      <c r="AN23" s="10">
        <v>173.6</v>
      </c>
      <c r="AO23" s="10">
        <v>173.6</v>
      </c>
      <c r="AP23" s="10">
        <v>173.6</v>
      </c>
      <c r="AQ23" s="10">
        <v>173.6</v>
      </c>
      <c r="AR23" s="10">
        <v>173.6</v>
      </c>
      <c r="AS23" s="10">
        <v>173.6</v>
      </c>
      <c r="AT23" s="10">
        <v>173.6</v>
      </c>
      <c r="AU23" s="10">
        <v>173.6</v>
      </c>
      <c r="AV23" s="10">
        <v>173.6</v>
      </c>
      <c r="AW23" s="10">
        <v>173.6</v>
      </c>
      <c r="AX23" s="10">
        <v>181.6</v>
      </c>
      <c r="AY23" s="10">
        <v>181.6</v>
      </c>
      <c r="AZ23" s="10">
        <v>181.6</v>
      </c>
      <c r="BA23" s="10">
        <v>181.6</v>
      </c>
      <c r="BB23" s="10">
        <v>181.6</v>
      </c>
      <c r="BC23" s="10">
        <v>181.6</v>
      </c>
      <c r="BD23" s="10">
        <v>181.6</v>
      </c>
      <c r="BE23" s="10">
        <v>181.6</v>
      </c>
      <c r="BF23" s="10">
        <v>181.6</v>
      </c>
      <c r="BG23" s="10">
        <v>181.6</v>
      </c>
      <c r="BH23" s="10">
        <v>181.6</v>
      </c>
      <c r="BI23" s="10">
        <v>181.6</v>
      </c>
      <c r="BJ23" s="10">
        <v>188.6</v>
      </c>
    </row>
    <row r="24" spans="1:62" ht="6.75" customHeight="1">
      <c r="A24" s="4"/>
      <c r="B24" s="23"/>
      <c r="C24" s="23"/>
      <c r="D24" s="23"/>
      <c r="E24" s="23"/>
      <c r="F24" s="10"/>
      <c r="G24" s="8"/>
      <c r="H24" s="8"/>
      <c r="I24" s="8"/>
      <c r="J24" s="10"/>
      <c r="K24" s="8"/>
      <c r="L24" s="8"/>
      <c r="M24" s="8"/>
      <c r="N24" s="10"/>
      <c r="O24" s="8"/>
      <c r="P24" s="8"/>
      <c r="Q24" s="8"/>
      <c r="R24" s="10"/>
      <c r="S24" s="8"/>
      <c r="T24" s="8"/>
      <c r="U24" s="8"/>
      <c r="V24" s="10"/>
      <c r="W24" s="8"/>
      <c r="X24" s="8"/>
      <c r="Y24" s="8"/>
      <c r="Z24" s="10"/>
      <c r="AA24" s="8"/>
      <c r="AB24" s="8"/>
      <c r="AC24" s="8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</row>
    <row r="25" spans="1:63" ht="12.75">
      <c r="A25" s="1" t="s">
        <v>13</v>
      </c>
      <c r="B25" s="22">
        <f>B26+B34</f>
        <v>2285.2300000000005</v>
      </c>
      <c r="C25" s="22">
        <f>C26+C34</f>
        <v>2618.3999999999996</v>
      </c>
      <c r="D25" s="22">
        <f>D26+D34</f>
        <v>2784.42</v>
      </c>
      <c r="E25" s="22">
        <f>E26+E34</f>
        <v>2988.01</v>
      </c>
      <c r="F25" s="11">
        <f aca="true" t="shared" si="22" ref="F25:Q25">F26+F34</f>
        <v>2946.9300000000003</v>
      </c>
      <c r="G25" s="11">
        <f t="shared" si="22"/>
        <v>2981.07</v>
      </c>
      <c r="H25" s="11">
        <f t="shared" si="22"/>
        <v>3144.3999999999996</v>
      </c>
      <c r="I25" s="11">
        <f t="shared" si="22"/>
        <v>3079.57</v>
      </c>
      <c r="J25" s="11">
        <f t="shared" si="22"/>
        <v>3042.3799999999997</v>
      </c>
      <c r="K25" s="11">
        <f t="shared" si="22"/>
        <v>3162.89</v>
      </c>
      <c r="L25" s="11">
        <f t="shared" si="22"/>
        <v>3108.75</v>
      </c>
      <c r="M25" s="11">
        <f t="shared" si="22"/>
        <v>3406.7799999999997</v>
      </c>
      <c r="N25" s="11">
        <f t="shared" si="22"/>
        <v>3454.2799999999997</v>
      </c>
      <c r="O25" s="11">
        <f t="shared" si="22"/>
        <v>3383.2</v>
      </c>
      <c r="P25" s="11">
        <f t="shared" si="22"/>
        <v>3405.21</v>
      </c>
      <c r="Q25" s="11">
        <f t="shared" si="22"/>
        <v>3652.29</v>
      </c>
      <c r="R25" s="11">
        <f aca="true" t="shared" si="23" ref="R25:AC25">R26+R34</f>
        <v>3481.5499999999997</v>
      </c>
      <c r="S25" s="11">
        <f t="shared" si="23"/>
        <v>3852.42</v>
      </c>
      <c r="T25" s="11">
        <f t="shared" si="23"/>
        <v>2975.6</v>
      </c>
      <c r="U25" s="11">
        <f t="shared" si="23"/>
        <v>2995.165</v>
      </c>
      <c r="V25" s="11">
        <f t="shared" si="23"/>
        <v>2993.5409999999997</v>
      </c>
      <c r="W25" s="11">
        <f t="shared" si="23"/>
        <v>2970.733</v>
      </c>
      <c r="X25" s="11">
        <f t="shared" si="23"/>
        <v>3068.4049999999997</v>
      </c>
      <c r="Y25" s="11">
        <f t="shared" si="23"/>
        <v>3144.438</v>
      </c>
      <c r="Z25" s="11">
        <f t="shared" si="23"/>
        <v>3448.8999999999996</v>
      </c>
      <c r="AA25" s="11">
        <f t="shared" si="23"/>
        <v>3474.9179999999997</v>
      </c>
      <c r="AB25" s="11">
        <f t="shared" si="23"/>
        <v>3275.2380000000003</v>
      </c>
      <c r="AC25" s="11">
        <f t="shared" si="23"/>
        <v>3178.9900000000002</v>
      </c>
      <c r="AD25" s="11">
        <f aca="true" t="shared" si="24" ref="AD25:AV25">AD26+AD34</f>
        <v>3209.6</v>
      </c>
      <c r="AE25" s="11">
        <f t="shared" si="24"/>
        <v>3246.73</v>
      </c>
      <c r="AF25" s="11">
        <f>AF26+AF34</f>
        <v>3426.66</v>
      </c>
      <c r="AG25" s="11">
        <f>AG26+AG34</f>
        <v>3407.013</v>
      </c>
      <c r="AH25" s="11">
        <f t="shared" si="24"/>
        <v>3381.63</v>
      </c>
      <c r="AI25" s="11">
        <f t="shared" si="24"/>
        <v>3407.13</v>
      </c>
      <c r="AJ25" s="11">
        <f t="shared" si="24"/>
        <v>3383.36</v>
      </c>
      <c r="AK25" s="11">
        <f t="shared" si="24"/>
        <v>3413.03</v>
      </c>
      <c r="AL25" s="11">
        <f>AL26+AL34</f>
        <v>3488.906</v>
      </c>
      <c r="AM25" s="11">
        <f>AM26+AM34</f>
        <v>3509.667</v>
      </c>
      <c r="AN25" s="11">
        <f t="shared" si="24"/>
        <v>3577.12</v>
      </c>
      <c r="AO25" s="11">
        <f>AO26+AO34</f>
        <v>3501.342</v>
      </c>
      <c r="AP25" s="11">
        <f t="shared" si="24"/>
        <v>3523.75</v>
      </c>
      <c r="AQ25" s="11">
        <f t="shared" si="24"/>
        <v>3525.37</v>
      </c>
      <c r="AR25" s="11">
        <f>AR26+AR34</f>
        <v>3598.74</v>
      </c>
      <c r="AS25" s="11">
        <f>AS26+AS34</f>
        <v>3615.522</v>
      </c>
      <c r="AT25" s="11">
        <f t="shared" si="24"/>
        <v>3549.86</v>
      </c>
      <c r="AU25" s="11">
        <f t="shared" si="24"/>
        <v>3474.34</v>
      </c>
      <c r="AV25" s="11">
        <f t="shared" si="24"/>
        <v>3491.85</v>
      </c>
      <c r="AW25" s="11">
        <f aca="true" t="shared" si="25" ref="AW25:BB25">AW26+AW34</f>
        <v>3491.85</v>
      </c>
      <c r="AX25" s="11">
        <f t="shared" si="25"/>
        <v>3528.359</v>
      </c>
      <c r="AY25" s="11">
        <f t="shared" si="25"/>
        <v>3579.87</v>
      </c>
      <c r="AZ25" s="11">
        <f t="shared" si="25"/>
        <v>3683.951</v>
      </c>
      <c r="BA25" s="11">
        <f t="shared" si="25"/>
        <v>3630.275</v>
      </c>
      <c r="BB25" s="11">
        <f t="shared" si="25"/>
        <v>3571.016</v>
      </c>
      <c r="BC25" s="11">
        <f aca="true" t="shared" si="26" ref="BC25:BH25">BC26+BC34</f>
        <v>3560.107</v>
      </c>
      <c r="BD25" s="11">
        <f t="shared" si="26"/>
        <v>3486.088</v>
      </c>
      <c r="BE25" s="11">
        <f t="shared" si="26"/>
        <v>3493.484</v>
      </c>
      <c r="BF25" s="11">
        <f t="shared" si="26"/>
        <v>3493.484</v>
      </c>
      <c r="BG25" s="11">
        <f t="shared" si="26"/>
        <v>3508.949</v>
      </c>
      <c r="BH25" s="11">
        <f t="shared" si="26"/>
        <v>3533.346</v>
      </c>
      <c r="BI25" s="11">
        <f>BI26+BI34</f>
        <v>3528.848</v>
      </c>
      <c r="BJ25" s="11">
        <f>BJ26+BJ34</f>
        <v>3521.59968018</v>
      </c>
      <c r="BK25" s="11"/>
    </row>
    <row r="26" spans="1:62" ht="12.75">
      <c r="A26" s="1" t="s">
        <v>14</v>
      </c>
      <c r="B26" s="22">
        <f>SUM(B27:B32)</f>
        <v>1925.2200000000003</v>
      </c>
      <c r="C26" s="22">
        <f>SUM(C27:C32)</f>
        <v>2286.12</v>
      </c>
      <c r="D26" s="22">
        <f>SUM(D27:D32)</f>
        <v>2422.62</v>
      </c>
      <c r="E26" s="22">
        <f>SUM(E27:E32)</f>
        <v>2619.02</v>
      </c>
      <c r="F26" s="11">
        <f aca="true" t="shared" si="27" ref="F26:Q26">SUM(F27:F32)</f>
        <v>2575.86</v>
      </c>
      <c r="G26" s="11">
        <f t="shared" si="27"/>
        <v>2515.44</v>
      </c>
      <c r="H26" s="11">
        <f t="shared" si="27"/>
        <v>2652.87</v>
      </c>
      <c r="I26" s="11">
        <f t="shared" si="27"/>
        <v>2701.96</v>
      </c>
      <c r="J26" s="11">
        <f t="shared" si="27"/>
        <v>2687.49</v>
      </c>
      <c r="K26" s="11">
        <f t="shared" si="27"/>
        <v>2647.27</v>
      </c>
      <c r="L26" s="11">
        <f t="shared" si="27"/>
        <v>2705.31</v>
      </c>
      <c r="M26" s="11">
        <f t="shared" si="27"/>
        <v>2821.41</v>
      </c>
      <c r="N26" s="11">
        <f t="shared" si="27"/>
        <v>2837.68</v>
      </c>
      <c r="O26" s="11">
        <f t="shared" si="27"/>
        <v>2930.5299999999997</v>
      </c>
      <c r="P26" s="11">
        <f t="shared" si="27"/>
        <v>2918.21</v>
      </c>
      <c r="Q26" s="11">
        <f t="shared" si="27"/>
        <v>3113.62</v>
      </c>
      <c r="R26" s="11">
        <f aca="true" t="shared" si="28" ref="R26:AC26">SUM(R27:R32)</f>
        <v>3048.2999999999997</v>
      </c>
      <c r="S26" s="11">
        <f t="shared" si="28"/>
        <v>3061</v>
      </c>
      <c r="T26" s="11">
        <f t="shared" si="28"/>
        <v>2975.6</v>
      </c>
      <c r="U26" s="11">
        <f t="shared" si="28"/>
        <v>2995.165</v>
      </c>
      <c r="V26" s="11">
        <f t="shared" si="28"/>
        <v>2993.5409999999997</v>
      </c>
      <c r="W26" s="11">
        <f t="shared" si="28"/>
        <v>2970.733</v>
      </c>
      <c r="X26" s="11">
        <f t="shared" si="28"/>
        <v>3068.4049999999997</v>
      </c>
      <c r="Y26" s="11">
        <f t="shared" si="28"/>
        <v>3144.438</v>
      </c>
      <c r="Z26" s="11">
        <f t="shared" si="28"/>
        <v>3448.8999999999996</v>
      </c>
      <c r="AA26" s="11">
        <f t="shared" si="28"/>
        <v>3474.9179999999997</v>
      </c>
      <c r="AB26" s="11">
        <f t="shared" si="28"/>
        <v>3275.2380000000003</v>
      </c>
      <c r="AC26" s="11">
        <f t="shared" si="28"/>
        <v>3178.9900000000002</v>
      </c>
      <c r="AD26" s="11">
        <v>3209.6</v>
      </c>
      <c r="AE26" s="11">
        <v>3246.73</v>
      </c>
      <c r="AF26" s="11">
        <v>3426.66</v>
      </c>
      <c r="AG26" s="11">
        <v>3407.013</v>
      </c>
      <c r="AH26" s="11">
        <v>3381.63</v>
      </c>
      <c r="AI26" s="11">
        <v>3407.13</v>
      </c>
      <c r="AJ26" s="11">
        <v>3383.36</v>
      </c>
      <c r="AK26" s="11">
        <v>3413.03</v>
      </c>
      <c r="AL26" s="11">
        <v>3488.906</v>
      </c>
      <c r="AM26" s="11">
        <v>3509.667</v>
      </c>
      <c r="AN26" s="11">
        <v>3577.12</v>
      </c>
      <c r="AO26" s="11">
        <v>3501.342</v>
      </c>
      <c r="AP26" s="11">
        <v>3523.75</v>
      </c>
      <c r="AQ26" s="11">
        <v>3525.37</v>
      </c>
      <c r="AR26" s="11">
        <v>3598.74</v>
      </c>
      <c r="AS26" s="11">
        <v>3615.522</v>
      </c>
      <c r="AT26" s="11">
        <v>3549.86</v>
      </c>
      <c r="AU26" s="11">
        <v>3474.34</v>
      </c>
      <c r="AV26" s="11">
        <v>3491.85</v>
      </c>
      <c r="AW26" s="11">
        <v>3491.85</v>
      </c>
      <c r="AX26" s="11">
        <v>3528.359</v>
      </c>
      <c r="AY26" s="11">
        <v>3579.87</v>
      </c>
      <c r="AZ26" s="11">
        <v>3683.951</v>
      </c>
      <c r="BA26" s="11">
        <v>3630.275</v>
      </c>
      <c r="BB26" s="11">
        <v>3571.016</v>
      </c>
      <c r="BC26" s="11">
        <v>3560.107</v>
      </c>
      <c r="BD26" s="11">
        <v>3486.088</v>
      </c>
      <c r="BE26" s="11">
        <v>3493.484</v>
      </c>
      <c r="BF26" s="11">
        <v>3493.484</v>
      </c>
      <c r="BG26" s="11">
        <v>3508.949</v>
      </c>
      <c r="BH26" s="11">
        <v>3533.346</v>
      </c>
      <c r="BI26" s="11">
        <v>3528.848</v>
      </c>
      <c r="BJ26" s="11">
        <f>+euro!AO23*0.585274</f>
        <v>3521.59968018</v>
      </c>
    </row>
    <row r="27" spans="1:62" ht="12.75" hidden="1">
      <c r="A27" s="4" t="s">
        <v>4</v>
      </c>
      <c r="B27" s="23">
        <v>282.42</v>
      </c>
      <c r="C27" s="23">
        <v>205.75</v>
      </c>
      <c r="D27" s="23">
        <v>191.75</v>
      </c>
      <c r="E27" s="23">
        <f>261.38-13.73+29.59</f>
        <v>277.24</v>
      </c>
      <c r="F27" s="12">
        <v>252.88</v>
      </c>
      <c r="G27" s="8">
        <v>196.04</v>
      </c>
      <c r="H27" s="8">
        <v>92.44</v>
      </c>
      <c r="I27" s="8">
        <v>75.09</v>
      </c>
      <c r="J27" s="12">
        <v>6.77</v>
      </c>
      <c r="K27" s="8">
        <v>67.27</v>
      </c>
      <c r="L27" s="8">
        <v>88.45</v>
      </c>
      <c r="M27" s="8">
        <v>205.76</v>
      </c>
      <c r="N27" s="12">
        <v>95.61</v>
      </c>
      <c r="O27" s="8">
        <v>65.36</v>
      </c>
      <c r="P27" s="8">
        <v>9.82</v>
      </c>
      <c r="Q27" s="8">
        <v>179.55</v>
      </c>
      <c r="R27" s="12">
        <v>39.4</v>
      </c>
      <c r="S27" s="8">
        <v>213.5</v>
      </c>
      <c r="T27" s="8">
        <v>2.8</v>
      </c>
      <c r="U27" s="8">
        <v>7.92</v>
      </c>
      <c r="V27" s="12">
        <v>9.8</v>
      </c>
      <c r="W27" s="8">
        <v>0.099</v>
      </c>
      <c r="X27" s="8">
        <v>33.778</v>
      </c>
      <c r="Y27" s="8">
        <v>0.093</v>
      </c>
      <c r="Z27" s="12">
        <v>0</v>
      </c>
      <c r="AA27" s="8">
        <v>0</v>
      </c>
      <c r="AB27" s="8">
        <v>0</v>
      </c>
      <c r="AC27" s="8">
        <v>0</v>
      </c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>
        <v>0</v>
      </c>
    </row>
    <row r="28" spans="1:62" ht="12.75" hidden="1">
      <c r="A28" s="4" t="s">
        <v>5</v>
      </c>
      <c r="B28" s="23">
        <v>458.68</v>
      </c>
      <c r="C28" s="23">
        <v>722.09</v>
      </c>
      <c r="D28" s="23">
        <v>722.71</v>
      </c>
      <c r="E28" s="23">
        <v>708.44</v>
      </c>
      <c r="F28" s="12">
        <v>689.7</v>
      </c>
      <c r="G28" s="8">
        <v>649.41</v>
      </c>
      <c r="H28" s="8">
        <v>834.22</v>
      </c>
      <c r="I28" s="8">
        <v>791.2</v>
      </c>
      <c r="J28" s="12">
        <v>846.42</v>
      </c>
      <c r="K28" s="8">
        <v>717.58</v>
      </c>
      <c r="L28" s="8">
        <v>691.37</v>
      </c>
      <c r="M28" s="8">
        <v>627.94</v>
      </c>
      <c r="N28" s="12">
        <v>729.31</v>
      </c>
      <c r="O28" s="8">
        <v>803.78</v>
      </c>
      <c r="P28" s="8">
        <v>776.05</v>
      </c>
      <c r="Q28" s="8">
        <v>689.16</v>
      </c>
      <c r="R28" s="12">
        <v>683.4</v>
      </c>
      <c r="S28" s="8">
        <v>533.2</v>
      </c>
      <c r="T28" s="8">
        <v>615.6</v>
      </c>
      <c r="U28" s="8">
        <v>536.29</v>
      </c>
      <c r="V28" s="12">
        <v>535.713</v>
      </c>
      <c r="W28" s="8">
        <v>500.451</v>
      </c>
      <c r="X28" s="8">
        <v>486.02</v>
      </c>
      <c r="Y28" s="8">
        <v>574.405</v>
      </c>
      <c r="Z28" s="12">
        <v>752.955</v>
      </c>
      <c r="AA28" s="8">
        <v>633.145</v>
      </c>
      <c r="AB28" s="8">
        <v>559.119</v>
      </c>
      <c r="AC28" s="8">
        <v>404.63</v>
      </c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>
        <f>3521.47-BJ27-BJ29-BJ30-BJ32</f>
        <v>117.84400000000005</v>
      </c>
    </row>
    <row r="29" spans="1:62" ht="12.75" hidden="1">
      <c r="A29" s="4" t="s">
        <v>6</v>
      </c>
      <c r="B29" s="23">
        <v>33.73</v>
      </c>
      <c r="C29" s="23">
        <v>52.62</v>
      </c>
      <c r="D29" s="23">
        <v>28.93</v>
      </c>
      <c r="E29" s="23">
        <v>0</v>
      </c>
      <c r="F29" s="12"/>
      <c r="G29" s="8"/>
      <c r="H29" s="8"/>
      <c r="I29" s="8">
        <v>16.1</v>
      </c>
      <c r="J29" s="12"/>
      <c r="K29" s="8"/>
      <c r="L29" s="8"/>
      <c r="M29" s="8">
        <v>-12.24</v>
      </c>
      <c r="N29" s="12"/>
      <c r="O29" s="8"/>
      <c r="P29" s="8"/>
      <c r="Q29" s="8">
        <v>28.67</v>
      </c>
      <c r="R29" s="12">
        <v>15.8</v>
      </c>
      <c r="S29" s="8">
        <v>11.2</v>
      </c>
      <c r="T29" s="8">
        <v>5.6</v>
      </c>
      <c r="U29" s="8">
        <f>0.512+0.415+1.03+5.788+6.786+1.976+8.421+25.719-0.86+0.17</f>
        <v>49.957</v>
      </c>
      <c r="V29" s="12">
        <f>0.171+0.415+1.06+5.789+6.796+1.977+10.292+25.714</f>
        <v>52.214</v>
      </c>
      <c r="W29" s="8">
        <f>0.115+0.415+1.063+6.087+5.788+1.978+10.3+25.714</f>
        <v>51.46</v>
      </c>
      <c r="X29" s="8">
        <f>0.308+1.11+0.193+0.193+6.706+5.927+2.25+10.484+26.246-0.55+0.408</f>
        <v>53.275000000000006</v>
      </c>
      <c r="Y29" s="8">
        <v>-38.56</v>
      </c>
      <c r="Z29" s="12">
        <f>0.048+1.115+0.193+0.193+8.112+5.352+2.29+10.642+26.76+14.329-0.2</f>
        <v>68.83399999999999</v>
      </c>
      <c r="AA29" s="8">
        <f>0.37+0.576+0.576+148.7+8.6+5.374+2.052+10.635+26.754+14.328-0.6</f>
        <v>217.36499999999995</v>
      </c>
      <c r="AB29" s="8">
        <f>0.286+0.414+0.383+0.383+8.786+4.714+2.097+10.843+27.314+15.398-0.39</f>
        <v>70.228</v>
      </c>
      <c r="AC29" s="8">
        <v>1.08</v>
      </c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>
        <f>0.096+0.096</f>
        <v>0.192</v>
      </c>
    </row>
    <row r="30" spans="1:62" ht="12.75" hidden="1">
      <c r="A30" s="4" t="s">
        <v>15</v>
      </c>
      <c r="B30" s="23">
        <v>0</v>
      </c>
      <c r="C30" s="23">
        <v>0</v>
      </c>
      <c r="D30" s="23">
        <v>0</v>
      </c>
      <c r="E30" s="23">
        <v>0</v>
      </c>
      <c r="F30" s="12"/>
      <c r="G30" s="8"/>
      <c r="H30" s="8"/>
      <c r="I30" s="8"/>
      <c r="J30" s="12"/>
      <c r="K30" s="8"/>
      <c r="L30" s="8"/>
      <c r="M30" s="8"/>
      <c r="N30" s="12"/>
      <c r="O30" s="8"/>
      <c r="P30" s="8"/>
      <c r="Q30" s="8"/>
      <c r="R30" s="12">
        <v>0</v>
      </c>
      <c r="S30" s="8"/>
      <c r="T30" s="8"/>
      <c r="U30" s="8"/>
      <c r="V30" s="12">
        <v>0</v>
      </c>
      <c r="W30" s="8"/>
      <c r="X30" s="8"/>
      <c r="Y30" s="8"/>
      <c r="Z30" s="12">
        <v>0</v>
      </c>
      <c r="AA30" s="8"/>
      <c r="AB30" s="8"/>
      <c r="AC30" s="8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>
        <v>49.5</v>
      </c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27">
        <v>0</v>
      </c>
    </row>
    <row r="31" spans="1:62" ht="12.75">
      <c r="A31" s="4"/>
      <c r="B31" s="23"/>
      <c r="C31" s="23"/>
      <c r="D31" s="23"/>
      <c r="E31" s="23"/>
      <c r="F31" s="12"/>
      <c r="G31" s="8"/>
      <c r="H31" s="8"/>
      <c r="I31" s="8"/>
      <c r="J31" s="12"/>
      <c r="K31" s="8"/>
      <c r="L31" s="8"/>
      <c r="M31" s="8"/>
      <c r="N31" s="12"/>
      <c r="O31" s="8"/>
      <c r="P31" s="8"/>
      <c r="Q31" s="8"/>
      <c r="R31" s="12"/>
      <c r="S31" s="8"/>
      <c r="T31" s="8"/>
      <c r="U31" s="8"/>
      <c r="V31" s="12"/>
      <c r="W31" s="8"/>
      <c r="X31" s="8"/>
      <c r="Y31" s="8"/>
      <c r="Z31" s="12"/>
      <c r="AA31" s="8"/>
      <c r="AB31" s="8"/>
      <c r="AC31" s="8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27"/>
    </row>
    <row r="32" spans="1:62" ht="12.75">
      <c r="A32" s="4" t="s">
        <v>8</v>
      </c>
      <c r="B32" s="23">
        <v>1150.39</v>
      </c>
      <c r="C32" s="23">
        <v>1305.66</v>
      </c>
      <c r="D32" s="23">
        <v>1479.23</v>
      </c>
      <c r="E32" s="23">
        <v>1633.34</v>
      </c>
      <c r="F32" s="12">
        <v>1633.28</v>
      </c>
      <c r="G32" s="8">
        <v>1669.99</v>
      </c>
      <c r="H32" s="8">
        <v>1726.21</v>
      </c>
      <c r="I32" s="8">
        <v>1819.57</v>
      </c>
      <c r="J32" s="12">
        <v>1834.3</v>
      </c>
      <c r="K32" s="8">
        <v>1862.42</v>
      </c>
      <c r="L32" s="8">
        <v>1925.49</v>
      </c>
      <c r="M32" s="8">
        <v>1999.95</v>
      </c>
      <c r="N32" s="12">
        <v>2012.76</v>
      </c>
      <c r="O32" s="8">
        <v>2061.39</v>
      </c>
      <c r="P32" s="8">
        <v>2132.34</v>
      </c>
      <c r="Q32" s="8">
        <v>2216.24</v>
      </c>
      <c r="R32" s="12">
        <v>2309.7</v>
      </c>
      <c r="S32" s="8">
        <v>2303.1</v>
      </c>
      <c r="T32" s="8">
        <v>2351.6</v>
      </c>
      <c r="U32" s="8">
        <v>2400.998</v>
      </c>
      <c r="V32" s="12">
        <v>2395.814</v>
      </c>
      <c r="W32" s="8">
        <v>2418.723</v>
      </c>
      <c r="X32" s="8">
        <v>2495.332</v>
      </c>
      <c r="Y32" s="8">
        <v>2608.5</v>
      </c>
      <c r="Z32" s="12">
        <v>2627.111</v>
      </c>
      <c r="AA32" s="8">
        <v>2624.408</v>
      </c>
      <c r="AB32" s="8">
        <v>2645.891</v>
      </c>
      <c r="AC32" s="8">
        <v>2773.28</v>
      </c>
      <c r="AD32" s="12">
        <v>2809.579</v>
      </c>
      <c r="AE32" s="12">
        <v>2856.52</v>
      </c>
      <c r="AF32" s="12">
        <v>2856.52</v>
      </c>
      <c r="AG32" s="12">
        <v>2856.52</v>
      </c>
      <c r="AH32" s="12">
        <v>2920.84</v>
      </c>
      <c r="AI32" s="12">
        <v>2945.82</v>
      </c>
      <c r="AJ32" s="12">
        <v>2952.01</v>
      </c>
      <c r="AK32" s="12">
        <v>3041.6</v>
      </c>
      <c r="AL32" s="27">
        <f>3016.94+24.7</f>
        <v>3041.64</v>
      </c>
      <c r="AM32" s="27">
        <f>3061.477+25.027</f>
        <v>3086.504</v>
      </c>
      <c r="AN32" s="27">
        <f>3051.18+25.027</f>
        <v>3076.207</v>
      </c>
      <c r="AO32" s="27">
        <f>3063.192+26.614</f>
        <v>3089.806</v>
      </c>
      <c r="AP32" s="27">
        <f>3063.192+26.614</f>
        <v>3089.806</v>
      </c>
      <c r="AQ32" s="27">
        <f>3072.2+27.547</f>
        <v>3099.747</v>
      </c>
      <c r="AR32" s="27">
        <f>3144.133+28.499</f>
        <v>3172.6319999999996</v>
      </c>
      <c r="AS32" s="27">
        <f>3108.205+28.499</f>
        <v>3136.7039999999997</v>
      </c>
      <c r="AT32" s="27">
        <f>3119.58+26.6</f>
        <v>3146.18</v>
      </c>
      <c r="AU32" s="27">
        <f>3119.58+26.6</f>
        <v>3146.18</v>
      </c>
      <c r="AV32" s="27">
        <f>3150.96+29.92</f>
        <v>3180.88</v>
      </c>
      <c r="AW32" s="27">
        <f>3135.87+30.92</f>
        <v>3166.79</v>
      </c>
      <c r="AX32" s="27">
        <f>3135.872+30.92</f>
        <v>3166.792</v>
      </c>
      <c r="AY32" s="27">
        <f>3184.677+31.446</f>
        <v>3216.123</v>
      </c>
      <c r="AZ32" s="27">
        <f>3238.794+31.85</f>
        <v>3270.644</v>
      </c>
      <c r="BA32" s="27">
        <f>3221.871+31.85</f>
        <v>3253.721</v>
      </c>
      <c r="BB32" s="27">
        <f>3222.01+32.138</f>
        <v>3254.148</v>
      </c>
      <c r="BC32" s="27">
        <f>3256.59+32.706</f>
        <v>3289.2960000000003</v>
      </c>
      <c r="BD32" s="27">
        <f>3262.686+33.182</f>
        <v>3295.868</v>
      </c>
      <c r="BE32" s="27">
        <f>3340.774+34.807</f>
        <v>3375.5809999999997</v>
      </c>
      <c r="BF32" s="27">
        <f>3340.774+34.807</f>
        <v>3375.5809999999997</v>
      </c>
      <c r="BG32" s="27">
        <f>3354.881+36.165</f>
        <v>3391.046</v>
      </c>
      <c r="BH32" s="27">
        <f>3378.543+36.81</f>
        <v>3415.353</v>
      </c>
      <c r="BI32" s="27">
        <f>3374.592+37.256</f>
        <v>3411.848</v>
      </c>
      <c r="BJ32" s="27">
        <f>3366.173+37.261</f>
        <v>3403.4339999999997</v>
      </c>
    </row>
    <row r="33" spans="1:62" ht="6" customHeight="1">
      <c r="A33" s="4"/>
      <c r="B33" s="23"/>
      <c r="C33" s="23"/>
      <c r="D33" s="23"/>
      <c r="E33" s="23"/>
      <c r="F33" s="10"/>
      <c r="G33" s="8"/>
      <c r="H33" s="8"/>
      <c r="I33" s="8"/>
      <c r="J33" s="10"/>
      <c r="K33" s="8"/>
      <c r="L33" s="8"/>
      <c r="M33" s="8"/>
      <c r="N33" s="10"/>
      <c r="O33" s="8"/>
      <c r="P33" s="8"/>
      <c r="Q33" s="8"/>
      <c r="R33" s="10"/>
      <c r="S33" s="8"/>
      <c r="T33" s="8"/>
      <c r="U33" s="8"/>
      <c r="V33" s="10"/>
      <c r="W33" s="8"/>
      <c r="X33" s="8"/>
      <c r="Y33" s="8"/>
      <c r="Z33" s="10"/>
      <c r="AA33" s="8"/>
      <c r="AB33" s="8"/>
      <c r="AC33" s="8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</row>
    <row r="34" spans="1:62" ht="12.75">
      <c r="A34" s="1" t="s">
        <v>16</v>
      </c>
      <c r="B34" s="22">
        <v>360.01</v>
      </c>
      <c r="C34" s="22">
        <v>332.28</v>
      </c>
      <c r="D34" s="22">
        <v>361.8</v>
      </c>
      <c r="E34" s="22">
        <f>398.58-29.59</f>
        <v>368.99</v>
      </c>
      <c r="F34" s="11">
        <v>371.07</v>
      </c>
      <c r="G34" s="11">
        <v>465.63</v>
      </c>
      <c r="H34" s="11">
        <v>491.53</v>
      </c>
      <c r="I34" s="11">
        <v>377.61</v>
      </c>
      <c r="J34" s="11">
        <v>354.89</v>
      </c>
      <c r="K34" s="11">
        <v>515.62</v>
      </c>
      <c r="L34" s="11">
        <v>403.44</v>
      </c>
      <c r="M34" s="11">
        <v>585.37</v>
      </c>
      <c r="N34" s="11">
        <v>616.6</v>
      </c>
      <c r="O34" s="11">
        <v>452.67</v>
      </c>
      <c r="P34" s="11">
        <v>487</v>
      </c>
      <c r="Q34" s="11">
        <v>538.67</v>
      </c>
      <c r="R34" s="11">
        <v>433.25</v>
      </c>
      <c r="S34" s="11">
        <v>791.42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v>0</v>
      </c>
      <c r="AM34" s="11"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v>0</v>
      </c>
      <c r="AS34" s="11"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v>0</v>
      </c>
      <c r="AY34" s="11"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v>0</v>
      </c>
      <c r="BE34" s="11"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v>0</v>
      </c>
    </row>
    <row r="35" spans="1:62" ht="6" customHeight="1">
      <c r="A35" s="4"/>
      <c r="B35" s="23"/>
      <c r="C35" s="23"/>
      <c r="D35" s="23"/>
      <c r="E35" s="23"/>
      <c r="F35" s="10"/>
      <c r="G35" s="8"/>
      <c r="H35" s="8"/>
      <c r="I35" s="8"/>
      <c r="J35" s="10"/>
      <c r="K35" s="8"/>
      <c r="L35" s="8"/>
      <c r="M35" s="8"/>
      <c r="N35" s="10"/>
      <c r="O35" s="8"/>
      <c r="P35" s="8"/>
      <c r="Q35" s="8"/>
      <c r="R35" s="10"/>
      <c r="S35" s="8"/>
      <c r="T35" s="8"/>
      <c r="U35" s="8"/>
      <c r="V35" s="10"/>
      <c r="W35" s="8"/>
      <c r="X35" s="8"/>
      <c r="Y35" s="8"/>
      <c r="Z35" s="10"/>
      <c r="AA35" s="8"/>
      <c r="AB35" s="8"/>
      <c r="AC35" s="8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</row>
    <row r="36" spans="1:63" ht="12.75">
      <c r="A36" s="3" t="s">
        <v>17</v>
      </c>
      <c r="B36" s="21">
        <f>B37+B39+B44+B42</f>
        <v>484.03999999999996</v>
      </c>
      <c r="C36" s="21">
        <f>C37+C39+C44+C42</f>
        <v>407.71</v>
      </c>
      <c r="D36" s="21">
        <f>D37+D39+D44+D42</f>
        <v>520.0899999999999</v>
      </c>
      <c r="E36" s="21">
        <f>E37+E39+E44+E42</f>
        <v>669.54</v>
      </c>
      <c r="F36" s="13">
        <f aca="true" t="shared" si="29" ref="F36:Q36">F37+F39+F44+F42</f>
        <v>684.71</v>
      </c>
      <c r="G36" s="13">
        <f t="shared" si="29"/>
        <v>821.1800000000001</v>
      </c>
      <c r="H36" s="13">
        <f t="shared" si="29"/>
        <v>821.07</v>
      </c>
      <c r="I36" s="13">
        <f t="shared" si="29"/>
        <v>855.44</v>
      </c>
      <c r="J36" s="13">
        <f t="shared" si="29"/>
        <v>840.1400000000001</v>
      </c>
      <c r="K36" s="13">
        <f t="shared" si="29"/>
        <v>822.2</v>
      </c>
      <c r="L36" s="13">
        <f t="shared" si="29"/>
        <v>835.03</v>
      </c>
      <c r="M36" s="13">
        <f t="shared" si="29"/>
        <v>825.58</v>
      </c>
      <c r="N36" s="13">
        <f t="shared" si="29"/>
        <v>873.34</v>
      </c>
      <c r="O36" s="13">
        <f t="shared" si="29"/>
        <v>848.2</v>
      </c>
      <c r="P36" s="13">
        <f t="shared" si="29"/>
        <v>835.34</v>
      </c>
      <c r="Q36" s="13">
        <f t="shared" si="29"/>
        <v>765.32</v>
      </c>
      <c r="R36" s="13">
        <f aca="true" t="shared" si="30" ref="R36:AC36">R37+R39+R44+R42</f>
        <v>1036.8700000000001</v>
      </c>
      <c r="S36" s="13">
        <f t="shared" si="30"/>
        <v>913.67</v>
      </c>
      <c r="T36" s="13">
        <f t="shared" si="30"/>
        <v>950.77</v>
      </c>
      <c r="U36" s="13">
        <f t="shared" si="30"/>
        <v>849.51</v>
      </c>
      <c r="V36" s="13">
        <f t="shared" si="30"/>
        <v>830.0699999999999</v>
      </c>
      <c r="W36" s="13">
        <f t="shared" si="30"/>
        <v>838.47</v>
      </c>
      <c r="X36" s="13">
        <f t="shared" si="30"/>
        <v>950.77</v>
      </c>
      <c r="Y36" s="13">
        <f t="shared" si="30"/>
        <v>1063.9099999999999</v>
      </c>
      <c r="Z36" s="13">
        <f t="shared" si="30"/>
        <v>1068.3899999999999</v>
      </c>
      <c r="AA36" s="13">
        <f t="shared" si="30"/>
        <v>1174.4699999999998</v>
      </c>
      <c r="AB36" s="13">
        <f t="shared" si="30"/>
        <v>1307.28</v>
      </c>
      <c r="AC36" s="13">
        <f t="shared" si="30"/>
        <v>1417.87</v>
      </c>
      <c r="AD36" s="13">
        <f aca="true" t="shared" si="31" ref="AD36:AV36">AD37+AD39+AD44+AD42</f>
        <v>1452.75</v>
      </c>
      <c r="AE36" s="13">
        <f t="shared" si="31"/>
        <v>1337.379</v>
      </c>
      <c r="AF36" s="13">
        <f>AF37+AF39+AF44+AF42</f>
        <v>1336.953</v>
      </c>
      <c r="AG36" s="13">
        <f>AG37+AG39+AG44+AG42</f>
        <v>1332.39</v>
      </c>
      <c r="AH36" s="13">
        <f t="shared" si="31"/>
        <v>1332.392</v>
      </c>
      <c r="AI36" s="13">
        <f t="shared" si="31"/>
        <v>1332.392</v>
      </c>
      <c r="AJ36" s="13">
        <f t="shared" si="31"/>
        <v>1310.27</v>
      </c>
      <c r="AK36" s="13">
        <f t="shared" si="31"/>
        <v>1343.27</v>
      </c>
      <c r="AL36" s="13">
        <f>AL37+AL39+AL44+AL42</f>
        <v>1342.879</v>
      </c>
      <c r="AM36" s="13">
        <f>AM37+AM39+AM44+AM42</f>
        <v>1342.879</v>
      </c>
      <c r="AN36" s="13">
        <f t="shared" si="31"/>
        <v>1342.88</v>
      </c>
      <c r="AO36" s="13">
        <f>AO37+AO39+AO44+AO42</f>
        <v>1342.88</v>
      </c>
      <c r="AP36" s="13">
        <f t="shared" si="31"/>
        <v>1342.879</v>
      </c>
      <c r="AQ36" s="13">
        <f t="shared" si="31"/>
        <v>1174.53</v>
      </c>
      <c r="AR36" s="13">
        <f>AR37+AR39+AR44+AR42</f>
        <v>1174.12</v>
      </c>
      <c r="AS36" s="13">
        <f>AS37+AS39+AS44+AS42</f>
        <v>1174.121</v>
      </c>
      <c r="AT36" s="13">
        <f t="shared" si="31"/>
        <v>1172.79</v>
      </c>
      <c r="AU36" s="13">
        <f t="shared" si="31"/>
        <v>1172.79</v>
      </c>
      <c r="AV36" s="13">
        <f t="shared" si="31"/>
        <v>1169.31</v>
      </c>
      <c r="AW36" s="13">
        <f aca="true" t="shared" si="32" ref="AW36:BB36">AW37+AW39+AW44+AW42</f>
        <v>1169.31</v>
      </c>
      <c r="AX36" s="13">
        <f t="shared" si="32"/>
        <v>1199.33</v>
      </c>
      <c r="AY36" s="13">
        <f t="shared" si="32"/>
        <v>1194.2939999999999</v>
      </c>
      <c r="AZ36" s="13">
        <f t="shared" si="32"/>
        <v>1194.2939999999999</v>
      </c>
      <c r="BA36" s="13">
        <f t="shared" si="32"/>
        <v>1194.2939999999999</v>
      </c>
      <c r="BB36" s="13">
        <f t="shared" si="32"/>
        <v>1194.09</v>
      </c>
      <c r="BC36" s="13">
        <f aca="true" t="shared" si="33" ref="BC36:BH36">BC37+BC39+BC44+BC42</f>
        <v>1190.53</v>
      </c>
      <c r="BD36" s="13">
        <f t="shared" si="33"/>
        <v>1195.917</v>
      </c>
      <c r="BE36" s="13">
        <f t="shared" si="33"/>
        <v>1195.65</v>
      </c>
      <c r="BF36" s="13">
        <f t="shared" si="33"/>
        <v>1195.65</v>
      </c>
      <c r="BG36" s="13">
        <f t="shared" si="33"/>
        <v>1194.3049999999998</v>
      </c>
      <c r="BH36" s="13">
        <f t="shared" si="33"/>
        <v>1194.125</v>
      </c>
      <c r="BI36" s="13">
        <f>BI37+BI39+BI44+BI42</f>
        <v>1190.51</v>
      </c>
      <c r="BJ36" s="13">
        <f>BJ37+BJ39+BJ44+BJ42</f>
        <v>1247.996</v>
      </c>
      <c r="BK36" s="13"/>
    </row>
    <row r="37" spans="1:62" s="17" customFormat="1" ht="12.75">
      <c r="A37" s="1" t="s">
        <v>18</v>
      </c>
      <c r="B37" s="22">
        <v>4.77</v>
      </c>
      <c r="C37" s="22">
        <v>4.77</v>
      </c>
      <c r="D37" s="22">
        <v>4.77</v>
      </c>
      <c r="E37" s="22">
        <v>4.77</v>
      </c>
      <c r="F37" s="22">
        <v>4.77</v>
      </c>
      <c r="G37" s="22">
        <v>4.77</v>
      </c>
      <c r="H37" s="22">
        <v>4.77</v>
      </c>
      <c r="I37" s="22">
        <v>4.77</v>
      </c>
      <c r="J37" s="22">
        <v>4.77</v>
      </c>
      <c r="K37" s="22">
        <v>4.77</v>
      </c>
      <c r="L37" s="22">
        <v>4.77</v>
      </c>
      <c r="M37" s="22">
        <v>4.77</v>
      </c>
      <c r="N37" s="22">
        <v>4.77</v>
      </c>
      <c r="O37" s="22">
        <v>4.77</v>
      </c>
      <c r="P37" s="22">
        <v>4.77</v>
      </c>
      <c r="Q37" s="22">
        <v>4.77</v>
      </c>
      <c r="R37" s="22">
        <v>4.77</v>
      </c>
      <c r="S37" s="22">
        <v>4.77</v>
      </c>
      <c r="T37" s="22">
        <v>4.77</v>
      </c>
      <c r="U37" s="22">
        <v>4.77</v>
      </c>
      <c r="V37" s="22">
        <v>4.77</v>
      </c>
      <c r="W37" s="22">
        <v>4.77</v>
      </c>
      <c r="X37" s="22">
        <v>4.77</v>
      </c>
      <c r="Y37" s="22">
        <v>4.77</v>
      </c>
      <c r="Z37" s="22">
        <v>4.77</v>
      </c>
      <c r="AA37" s="22">
        <v>4.77</v>
      </c>
      <c r="AB37" s="22">
        <v>4.77</v>
      </c>
      <c r="AC37" s="22">
        <v>4.77</v>
      </c>
      <c r="AD37" s="22">
        <v>4.77</v>
      </c>
      <c r="AE37" s="22">
        <v>4.77</v>
      </c>
      <c r="AF37" s="22">
        <v>4.77</v>
      </c>
      <c r="AG37" s="22">
        <v>4.77</v>
      </c>
      <c r="AH37" s="22">
        <v>4.77</v>
      </c>
      <c r="AI37" s="22">
        <v>4.77</v>
      </c>
      <c r="AJ37" s="22">
        <v>4.77</v>
      </c>
      <c r="AK37" s="22">
        <v>4.77</v>
      </c>
      <c r="AL37" s="22">
        <v>4.77</v>
      </c>
      <c r="AM37" s="22">
        <v>4.77</v>
      </c>
      <c r="AN37" s="22">
        <v>4.77</v>
      </c>
      <c r="AO37" s="22">
        <v>4.77</v>
      </c>
      <c r="AP37" s="22">
        <v>4.77</v>
      </c>
      <c r="AQ37" s="22">
        <v>4.77</v>
      </c>
      <c r="AR37" s="22">
        <v>4.77</v>
      </c>
      <c r="AS37" s="22">
        <v>4.77</v>
      </c>
      <c r="AT37" s="22">
        <v>4.77</v>
      </c>
      <c r="AU37" s="22">
        <v>4.77</v>
      </c>
      <c r="AV37" s="22">
        <v>4.77</v>
      </c>
      <c r="AW37" s="22">
        <v>4.77</v>
      </c>
      <c r="AX37" s="22">
        <v>4.77</v>
      </c>
      <c r="AY37" s="11"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v>0</v>
      </c>
      <c r="BE37" s="11">
        <v>0</v>
      </c>
      <c r="BF37" s="11">
        <v>0</v>
      </c>
      <c r="BG37" s="11">
        <v>0</v>
      </c>
      <c r="BH37" s="11">
        <v>0</v>
      </c>
      <c r="BI37" s="11">
        <v>0</v>
      </c>
      <c r="BJ37" s="11">
        <v>0</v>
      </c>
    </row>
    <row r="38" spans="1:62" ht="12.75">
      <c r="A38" s="1" t="s">
        <v>19</v>
      </c>
      <c r="B38" s="23"/>
      <c r="C38" s="23"/>
      <c r="D38" s="23"/>
      <c r="E38" s="23"/>
      <c r="F38" s="10"/>
      <c r="G38" s="8"/>
      <c r="H38" s="8"/>
      <c r="I38" s="8"/>
      <c r="J38" s="10"/>
      <c r="K38" s="8"/>
      <c r="L38" s="8"/>
      <c r="M38" s="8"/>
      <c r="N38" s="10"/>
      <c r="O38" s="8"/>
      <c r="P38" s="8"/>
      <c r="Q38" s="8"/>
      <c r="R38" s="10"/>
      <c r="S38" s="8"/>
      <c r="T38" s="8"/>
      <c r="U38" s="8"/>
      <c r="V38" s="10"/>
      <c r="W38" s="8"/>
      <c r="X38" s="8"/>
      <c r="Y38" s="8"/>
      <c r="Z38" s="10"/>
      <c r="AA38" s="8"/>
      <c r="AB38" s="8"/>
      <c r="AC38" s="8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</row>
    <row r="39" spans="1:62" s="17" customFormat="1" ht="12.75">
      <c r="A39" s="1" t="s">
        <v>20</v>
      </c>
      <c r="B39" s="22">
        <v>342.75</v>
      </c>
      <c r="C39" s="22">
        <v>282.87</v>
      </c>
      <c r="D39" s="22">
        <f>234.57+2.2</f>
        <v>236.76999999999998</v>
      </c>
      <c r="E39" s="22">
        <f>218.46+1.82</f>
        <v>220.28</v>
      </c>
      <c r="F39" s="11">
        <v>211.3</v>
      </c>
      <c r="G39" s="16">
        <v>196</v>
      </c>
      <c r="H39" s="16">
        <v>198.99</v>
      </c>
      <c r="I39" s="16">
        <v>223.37</v>
      </c>
      <c r="J39" s="11">
        <v>221.3</v>
      </c>
      <c r="K39" s="16">
        <v>213.85</v>
      </c>
      <c r="L39" s="16">
        <v>211.62</v>
      </c>
      <c r="M39" s="16">
        <v>249.14</v>
      </c>
      <c r="N39" s="11">
        <v>247.22</v>
      </c>
      <c r="O39" s="16">
        <v>215.56</v>
      </c>
      <c r="P39" s="16">
        <v>226.98</v>
      </c>
      <c r="Q39" s="16">
        <v>180.76</v>
      </c>
      <c r="R39" s="11">
        <v>178.8</v>
      </c>
      <c r="S39" s="16">
        <v>161.3</v>
      </c>
      <c r="T39" s="16">
        <v>159.5</v>
      </c>
      <c r="U39" s="16">
        <v>152.26</v>
      </c>
      <c r="V39" s="11">
        <v>150.5</v>
      </c>
      <c r="W39" s="16">
        <v>158.9</v>
      </c>
      <c r="X39" s="16">
        <v>159.5</v>
      </c>
      <c r="Y39" s="16">
        <v>273.39</v>
      </c>
      <c r="Z39" s="11">
        <v>272.98</v>
      </c>
      <c r="AA39" s="16">
        <v>292.36</v>
      </c>
      <c r="AB39" s="16">
        <v>281.89</v>
      </c>
      <c r="AC39" s="16">
        <v>324</v>
      </c>
      <c r="AD39" s="11">
        <v>323.59</v>
      </c>
      <c r="AE39" s="11">
        <v>321.746</v>
      </c>
      <c r="AF39" s="11">
        <v>321.32</v>
      </c>
      <c r="AG39" s="11">
        <v>321.32</v>
      </c>
      <c r="AH39" s="11">
        <v>321.322</v>
      </c>
      <c r="AI39" s="11">
        <v>321.322</v>
      </c>
      <c r="AJ39" s="11">
        <v>319.61</v>
      </c>
      <c r="AK39" s="11">
        <v>374.2</v>
      </c>
      <c r="AL39" s="11">
        <v>373.789</v>
      </c>
      <c r="AM39" s="11">
        <v>373.789</v>
      </c>
      <c r="AN39" s="11">
        <v>373.79</v>
      </c>
      <c r="AO39" s="11">
        <v>373.79</v>
      </c>
      <c r="AP39" s="11">
        <v>373.789</v>
      </c>
      <c r="AQ39" s="11">
        <v>366.16</v>
      </c>
      <c r="AR39" s="11">
        <v>365.75</v>
      </c>
      <c r="AS39" s="11">
        <v>365.751</v>
      </c>
      <c r="AT39" s="11">
        <v>364.42</v>
      </c>
      <c r="AU39" s="11">
        <v>364.42</v>
      </c>
      <c r="AV39" s="11">
        <v>360.94</v>
      </c>
      <c r="AW39" s="11">
        <v>360.94</v>
      </c>
      <c r="AX39" s="11">
        <v>384.38</v>
      </c>
      <c r="AY39" s="11">
        <v>384.114</v>
      </c>
      <c r="AZ39" s="11">
        <v>384.114</v>
      </c>
      <c r="BA39" s="11">
        <v>384.114</v>
      </c>
      <c r="BB39" s="11">
        <v>383.91</v>
      </c>
      <c r="BC39" s="11">
        <v>380.35</v>
      </c>
      <c r="BD39" s="11">
        <v>385.737</v>
      </c>
      <c r="BE39" s="11">
        <v>385.47</v>
      </c>
      <c r="BF39" s="11">
        <v>385.47</v>
      </c>
      <c r="BG39" s="11">
        <v>384.125</v>
      </c>
      <c r="BH39" s="11">
        <v>383.945</v>
      </c>
      <c r="BI39" s="11">
        <v>380.33</v>
      </c>
      <c r="BJ39" s="11">
        <v>428.613</v>
      </c>
    </row>
    <row r="40" spans="1:62" ht="12.75" hidden="1">
      <c r="A40" s="4" t="s">
        <v>21</v>
      </c>
      <c r="B40" s="23">
        <v>10.67</v>
      </c>
      <c r="C40" s="23">
        <v>3.57</v>
      </c>
      <c r="D40" s="23">
        <v>2.2</v>
      </c>
      <c r="E40" s="23">
        <v>1.82</v>
      </c>
      <c r="F40" s="10"/>
      <c r="G40" s="8"/>
      <c r="H40" s="8"/>
      <c r="I40" s="8"/>
      <c r="J40" s="10"/>
      <c r="K40" s="8"/>
      <c r="L40" s="8"/>
      <c r="M40" s="8"/>
      <c r="N40" s="10"/>
      <c r="O40" s="8"/>
      <c r="P40" s="8"/>
      <c r="Q40" s="8"/>
      <c r="R40" s="10"/>
      <c r="S40" s="8"/>
      <c r="T40" s="8"/>
      <c r="U40" s="8"/>
      <c r="V40" s="10"/>
      <c r="W40" s="8"/>
      <c r="X40" s="8"/>
      <c r="Y40" s="8"/>
      <c r="Z40" s="10"/>
      <c r="AA40" s="8"/>
      <c r="AB40" s="8"/>
      <c r="AC40" s="8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</row>
    <row r="41" spans="1:62" ht="6" customHeight="1">
      <c r="A41" s="4"/>
      <c r="B41" s="23"/>
      <c r="C41" s="23"/>
      <c r="D41" s="23"/>
      <c r="E41" s="23"/>
      <c r="F41" s="10"/>
      <c r="G41" s="8"/>
      <c r="H41" s="8"/>
      <c r="I41" s="8"/>
      <c r="J41" s="10"/>
      <c r="K41" s="8"/>
      <c r="L41" s="8"/>
      <c r="M41" s="8"/>
      <c r="N41" s="10"/>
      <c r="O41" s="8"/>
      <c r="P41" s="8"/>
      <c r="Q41" s="8"/>
      <c r="R41" s="10"/>
      <c r="S41" s="8"/>
      <c r="T41" s="8"/>
      <c r="U41" s="8"/>
      <c r="V41" s="10"/>
      <c r="W41" s="8"/>
      <c r="X41" s="8"/>
      <c r="Y41" s="8"/>
      <c r="Z41" s="10"/>
      <c r="AA41" s="8"/>
      <c r="AB41" s="8"/>
      <c r="AC41" s="8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</row>
    <row r="42" spans="1:62" s="17" customFormat="1" ht="12.75">
      <c r="A42" s="1" t="s">
        <v>22</v>
      </c>
      <c r="B42" s="22">
        <v>0</v>
      </c>
      <c r="C42" s="22">
        <v>0</v>
      </c>
      <c r="D42" s="22">
        <v>153.76</v>
      </c>
      <c r="E42" s="22">
        <v>355.54</v>
      </c>
      <c r="F42" s="11">
        <v>355.54</v>
      </c>
      <c r="G42" s="16">
        <v>515.86</v>
      </c>
      <c r="H42" s="16">
        <v>515.86</v>
      </c>
      <c r="I42" s="16">
        <v>515.86</v>
      </c>
      <c r="J42" s="11">
        <v>515.86</v>
      </c>
      <c r="K42" s="16">
        <v>515.86</v>
      </c>
      <c r="L42" s="16">
        <v>515.86</v>
      </c>
      <c r="M42" s="16">
        <v>515.86</v>
      </c>
      <c r="N42" s="11">
        <v>515.86</v>
      </c>
      <c r="O42" s="16">
        <v>515.86</v>
      </c>
      <c r="P42" s="16">
        <v>515.86</v>
      </c>
      <c r="Q42" s="16">
        <v>515.86</v>
      </c>
      <c r="R42" s="11">
        <v>828.5</v>
      </c>
      <c r="S42" s="16">
        <v>674.8</v>
      </c>
      <c r="T42" s="16">
        <v>674.8</v>
      </c>
      <c r="U42" s="16">
        <v>674.8</v>
      </c>
      <c r="V42" s="11">
        <v>674.8</v>
      </c>
      <c r="W42" s="16">
        <v>674.8</v>
      </c>
      <c r="X42" s="16">
        <v>674.8</v>
      </c>
      <c r="Y42" s="16">
        <v>674.8</v>
      </c>
      <c r="Z42" s="11">
        <v>674.8</v>
      </c>
      <c r="AA42" s="16">
        <v>674.8</v>
      </c>
      <c r="AB42" s="16">
        <v>963.13</v>
      </c>
      <c r="AC42" s="16">
        <v>974.57</v>
      </c>
      <c r="AD42" s="11">
        <v>974.57</v>
      </c>
      <c r="AE42" s="11">
        <v>974.57</v>
      </c>
      <c r="AF42" s="11">
        <v>974.57</v>
      </c>
      <c r="AG42" s="11">
        <v>974.57</v>
      </c>
      <c r="AH42" s="11">
        <v>974.57</v>
      </c>
      <c r="AI42" s="11">
        <v>974.57</v>
      </c>
      <c r="AJ42" s="11">
        <v>974.57</v>
      </c>
      <c r="AK42" s="11">
        <v>964.3</v>
      </c>
      <c r="AL42" s="11">
        <v>964.32</v>
      </c>
      <c r="AM42" s="11">
        <v>964.32</v>
      </c>
      <c r="AN42" s="11">
        <v>964.32</v>
      </c>
      <c r="AO42" s="11">
        <v>964.32</v>
      </c>
      <c r="AP42" s="11">
        <v>964.32</v>
      </c>
      <c r="AQ42" s="11">
        <v>803.6</v>
      </c>
      <c r="AR42" s="11">
        <v>803.6</v>
      </c>
      <c r="AS42" s="11">
        <v>803.6</v>
      </c>
      <c r="AT42" s="11">
        <v>803.6</v>
      </c>
      <c r="AU42" s="11">
        <v>803.6</v>
      </c>
      <c r="AV42" s="11">
        <v>803.6</v>
      </c>
      <c r="AW42" s="11">
        <v>803.6</v>
      </c>
      <c r="AX42" s="11">
        <v>810.18</v>
      </c>
      <c r="AY42" s="11">
        <v>810.18</v>
      </c>
      <c r="AZ42" s="11">
        <v>810.18</v>
      </c>
      <c r="BA42" s="11">
        <v>810.18</v>
      </c>
      <c r="BB42" s="11">
        <v>810.18</v>
      </c>
      <c r="BC42" s="11">
        <v>810.18</v>
      </c>
      <c r="BD42" s="11">
        <v>810.18</v>
      </c>
      <c r="BE42" s="11">
        <v>810.18</v>
      </c>
      <c r="BF42" s="11">
        <v>810.18</v>
      </c>
      <c r="BG42" s="11">
        <v>810.18</v>
      </c>
      <c r="BH42" s="11">
        <v>810.18</v>
      </c>
      <c r="BI42" s="11">
        <v>810.18</v>
      </c>
      <c r="BJ42" s="11">
        <v>819.383</v>
      </c>
    </row>
    <row r="43" spans="1:62" ht="6.75" customHeight="1">
      <c r="A43" s="4"/>
      <c r="B43" s="23"/>
      <c r="C43" s="23"/>
      <c r="D43" s="23"/>
      <c r="E43" s="23"/>
      <c r="F43" s="10"/>
      <c r="G43" s="8"/>
      <c r="H43" s="8"/>
      <c r="I43" s="8"/>
      <c r="J43" s="10"/>
      <c r="K43" s="8"/>
      <c r="L43" s="8"/>
      <c r="M43" s="8"/>
      <c r="N43" s="10"/>
      <c r="O43" s="8"/>
      <c r="P43" s="8"/>
      <c r="Q43" s="8"/>
      <c r="R43" s="10"/>
      <c r="S43" s="8"/>
      <c r="T43" s="8"/>
      <c r="U43" s="8"/>
      <c r="V43" s="10"/>
      <c r="W43" s="8"/>
      <c r="X43" s="8"/>
      <c r="Y43" s="8"/>
      <c r="Z43" s="10"/>
      <c r="AA43" s="8"/>
      <c r="AB43" s="8"/>
      <c r="AC43" s="8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</row>
    <row r="44" spans="1:62" s="17" customFormat="1" ht="12.75">
      <c r="A44" s="1" t="s">
        <v>23</v>
      </c>
      <c r="B44" s="22">
        <v>136.52</v>
      </c>
      <c r="C44" s="22">
        <v>120.07</v>
      </c>
      <c r="D44" s="22">
        <v>124.79</v>
      </c>
      <c r="E44" s="22">
        <v>88.95</v>
      </c>
      <c r="F44" s="11">
        <v>113.1</v>
      </c>
      <c r="G44" s="16">
        <v>104.55</v>
      </c>
      <c r="H44" s="16">
        <v>101.45</v>
      </c>
      <c r="I44" s="16">
        <v>111.44</v>
      </c>
      <c r="J44" s="11">
        <v>98.21</v>
      </c>
      <c r="K44" s="16">
        <v>87.72</v>
      </c>
      <c r="L44" s="16">
        <v>102.78</v>
      </c>
      <c r="M44" s="16">
        <v>55.81</v>
      </c>
      <c r="N44" s="11">
        <v>105.49</v>
      </c>
      <c r="O44" s="16">
        <v>112.01</v>
      </c>
      <c r="P44" s="16">
        <v>87.73</v>
      </c>
      <c r="Q44" s="16">
        <v>63.93</v>
      </c>
      <c r="R44" s="11">
        <v>24.8</v>
      </c>
      <c r="S44" s="16">
        <v>72.8</v>
      </c>
      <c r="T44" s="16">
        <v>111.7</v>
      </c>
      <c r="U44" s="16">
        <v>17.68</v>
      </c>
      <c r="V44" s="11">
        <v>0</v>
      </c>
      <c r="W44" s="16">
        <v>0</v>
      </c>
      <c r="X44" s="16">
        <v>111.7</v>
      </c>
      <c r="Y44" s="16">
        <v>110.95</v>
      </c>
      <c r="Z44" s="11">
        <v>115.84</v>
      </c>
      <c r="AA44" s="16">
        <v>202.54</v>
      </c>
      <c r="AB44" s="16">
        <v>57.49</v>
      </c>
      <c r="AC44" s="16">
        <v>114.53</v>
      </c>
      <c r="AD44" s="11">
        <v>149.82</v>
      </c>
      <c r="AE44" s="11">
        <v>36.293</v>
      </c>
      <c r="AF44" s="11">
        <v>36.293</v>
      </c>
      <c r="AG44" s="11">
        <v>31.73</v>
      </c>
      <c r="AH44" s="11">
        <v>31.73</v>
      </c>
      <c r="AI44" s="11">
        <v>31.73</v>
      </c>
      <c r="AJ44" s="11">
        <v>11.32</v>
      </c>
      <c r="AK44" s="11">
        <v>0</v>
      </c>
      <c r="AL44" s="11">
        <v>0</v>
      </c>
      <c r="AM44" s="11">
        <v>0</v>
      </c>
      <c r="AN44" s="11">
        <v>0</v>
      </c>
      <c r="AO44" s="11">
        <v>0</v>
      </c>
      <c r="AP44" s="11">
        <v>0</v>
      </c>
      <c r="AQ44" s="11">
        <v>0</v>
      </c>
      <c r="AR44" s="11">
        <v>0</v>
      </c>
      <c r="AS44" s="11">
        <v>0</v>
      </c>
      <c r="AT44" s="11">
        <v>0</v>
      </c>
      <c r="AU44" s="11">
        <v>0</v>
      </c>
      <c r="AV44" s="11">
        <v>0</v>
      </c>
      <c r="AW44" s="11">
        <v>0</v>
      </c>
      <c r="AX44" s="11">
        <v>0</v>
      </c>
      <c r="AY44" s="11">
        <v>0</v>
      </c>
      <c r="AZ44" s="11">
        <v>0</v>
      </c>
      <c r="BA44" s="11">
        <v>0</v>
      </c>
      <c r="BB44" s="11">
        <v>0</v>
      </c>
      <c r="BC44" s="11">
        <v>0</v>
      </c>
      <c r="BD44" s="11">
        <v>0</v>
      </c>
      <c r="BE44" s="11">
        <v>0</v>
      </c>
      <c r="BF44" s="11">
        <v>0</v>
      </c>
      <c r="BG44" s="11">
        <v>0</v>
      </c>
      <c r="BH44" s="11">
        <v>0</v>
      </c>
      <c r="BI44" s="11">
        <v>0</v>
      </c>
      <c r="BJ44" s="11">
        <v>0</v>
      </c>
    </row>
    <row r="45" spans="1:62" ht="5.25" customHeight="1">
      <c r="A45" s="4"/>
      <c r="B45" s="23"/>
      <c r="C45" s="23"/>
      <c r="D45" s="23"/>
      <c r="E45" s="23"/>
      <c r="F45" s="10"/>
      <c r="G45" s="8"/>
      <c r="H45" s="8"/>
      <c r="I45" s="8"/>
      <c r="J45" s="10"/>
      <c r="K45" s="8"/>
      <c r="L45" s="8"/>
      <c r="M45" s="8"/>
      <c r="N45" s="10"/>
      <c r="O45" s="8"/>
      <c r="P45" s="8"/>
      <c r="Q45" s="8"/>
      <c r="R45" s="10"/>
      <c r="S45" s="8"/>
      <c r="T45" s="8"/>
      <c r="U45" s="8"/>
      <c r="V45" s="10"/>
      <c r="W45" s="8"/>
      <c r="X45" s="8"/>
      <c r="Y45" s="8"/>
      <c r="Z45" s="10"/>
      <c r="AA45" s="8"/>
      <c r="AB45" s="8"/>
      <c r="AC45" s="8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</row>
    <row r="46" spans="1:62" ht="12.75">
      <c r="A46" s="3" t="s">
        <v>24</v>
      </c>
      <c r="B46" s="21">
        <f>B5+B36</f>
        <v>3214.7400000000007</v>
      </c>
      <c r="C46" s="21">
        <f>C5+C36</f>
        <v>3510.2</v>
      </c>
      <c r="D46" s="21">
        <f>D5+D36</f>
        <v>3982.0600000000004</v>
      </c>
      <c r="E46" s="21">
        <f>E5+E36</f>
        <v>4536.76</v>
      </c>
      <c r="F46" s="13">
        <f aca="true" t="shared" si="34" ref="F46:Q46">F5+F36</f>
        <v>4521.8</v>
      </c>
      <c r="G46" s="13">
        <f t="shared" si="34"/>
        <v>4658.54</v>
      </c>
      <c r="H46" s="13">
        <f t="shared" si="34"/>
        <v>4779.91</v>
      </c>
      <c r="I46" s="13">
        <f t="shared" si="34"/>
        <v>4948.51</v>
      </c>
      <c r="J46" s="13">
        <f t="shared" si="34"/>
        <v>4973.83</v>
      </c>
      <c r="K46" s="13">
        <f t="shared" si="34"/>
        <v>5107.88</v>
      </c>
      <c r="L46" s="13">
        <f t="shared" si="34"/>
        <v>5076.33</v>
      </c>
      <c r="M46" s="13">
        <f t="shared" si="34"/>
        <v>5407.71</v>
      </c>
      <c r="N46" s="13">
        <f t="shared" si="34"/>
        <v>5559.889999999999</v>
      </c>
      <c r="O46" s="13">
        <f t="shared" si="34"/>
        <v>5614.49</v>
      </c>
      <c r="P46" s="13">
        <f t="shared" si="34"/>
        <v>5714.89</v>
      </c>
      <c r="Q46" s="13">
        <f t="shared" si="34"/>
        <v>5998.09</v>
      </c>
      <c r="R46" s="13">
        <f aca="true" t="shared" si="35" ref="R46:AC46">R5+R36</f>
        <v>6218.32</v>
      </c>
      <c r="S46" s="13">
        <f t="shared" si="35"/>
        <v>6455.39</v>
      </c>
      <c r="T46" s="13">
        <f t="shared" si="35"/>
        <v>6708.34</v>
      </c>
      <c r="U46" s="13">
        <f t="shared" si="35"/>
        <v>6559.445</v>
      </c>
      <c r="V46" s="13">
        <f t="shared" si="35"/>
        <v>6743.280999999999</v>
      </c>
      <c r="W46" s="13">
        <f t="shared" si="35"/>
        <v>6893.473000000001</v>
      </c>
      <c r="X46" s="13">
        <f t="shared" si="35"/>
        <v>7148.645</v>
      </c>
      <c r="Y46" s="13">
        <f t="shared" si="35"/>
        <v>7359.407999999999</v>
      </c>
      <c r="Z46" s="13">
        <f t="shared" si="35"/>
        <v>7546.5999999999985</v>
      </c>
      <c r="AA46" s="13">
        <f t="shared" si="35"/>
        <v>7829.287999999999</v>
      </c>
      <c r="AB46" s="13">
        <f t="shared" si="35"/>
        <v>7809.568</v>
      </c>
      <c r="AC46" s="13">
        <f t="shared" si="35"/>
        <v>7977.26</v>
      </c>
      <c r="AD46" s="13">
        <f aca="true" t="shared" si="36" ref="AD46:AV46">AD5+AD36</f>
        <v>8091.3099999999995</v>
      </c>
      <c r="AE46" s="13">
        <f t="shared" si="36"/>
        <v>8243.949</v>
      </c>
      <c r="AF46" s="13">
        <f>AF5+AF36</f>
        <v>8459.682999999999</v>
      </c>
      <c r="AG46" s="13">
        <f>AG5+AG36</f>
        <v>8407.717999999999</v>
      </c>
      <c r="AH46" s="13">
        <f t="shared" si="36"/>
        <v>8436.202</v>
      </c>
      <c r="AI46" s="13">
        <f t="shared" si="36"/>
        <v>8462.422</v>
      </c>
      <c r="AJ46" s="13">
        <f t="shared" si="36"/>
        <v>8420.44</v>
      </c>
      <c r="AK46" s="13">
        <f t="shared" si="36"/>
        <v>8489.720000000001</v>
      </c>
      <c r="AL46" s="13">
        <f>AL5+AL36</f>
        <v>8631.206999999999</v>
      </c>
      <c r="AM46" s="13">
        <f>AM5+AM36</f>
        <v>8502.109</v>
      </c>
      <c r="AN46" s="13">
        <f t="shared" si="36"/>
        <v>8558.676</v>
      </c>
      <c r="AO46" s="13">
        <f>AO5+AO36</f>
        <v>8459.494</v>
      </c>
      <c r="AP46" s="13">
        <f t="shared" si="36"/>
        <v>8780.14</v>
      </c>
      <c r="AQ46" s="13">
        <f t="shared" si="36"/>
        <v>8654.880000000001</v>
      </c>
      <c r="AR46" s="13">
        <f>AR5+AR36</f>
        <v>8684.74</v>
      </c>
      <c r="AS46" s="13">
        <f>AS5+AS36</f>
        <v>8671.058</v>
      </c>
      <c r="AT46" s="13">
        <f t="shared" si="36"/>
        <v>8674.14</v>
      </c>
      <c r="AU46" s="13">
        <f t="shared" si="36"/>
        <v>8659.68</v>
      </c>
      <c r="AV46" s="13">
        <f t="shared" si="36"/>
        <v>8624.17</v>
      </c>
      <c r="AW46" s="13">
        <f aca="true" t="shared" si="37" ref="AW46:BB46">AW5+AW36</f>
        <v>8624.17</v>
      </c>
      <c r="AX46" s="13">
        <f t="shared" si="37"/>
        <v>8682.615</v>
      </c>
      <c r="AY46" s="13">
        <f t="shared" si="37"/>
        <v>8616.845</v>
      </c>
      <c r="AZ46" s="13">
        <f t="shared" si="37"/>
        <v>8949.447</v>
      </c>
      <c r="BA46" s="13">
        <f t="shared" si="37"/>
        <v>8892.968</v>
      </c>
      <c r="BB46" s="13">
        <f t="shared" si="37"/>
        <v>8919.783</v>
      </c>
      <c r="BC46" s="13">
        <f aca="true" t="shared" si="38" ref="BC46:BH46">BC5+BC36</f>
        <v>8897.608</v>
      </c>
      <c r="BD46" s="13">
        <f t="shared" si="38"/>
        <v>8823.366</v>
      </c>
      <c r="BE46" s="13">
        <f t="shared" si="38"/>
        <v>8780.078</v>
      </c>
      <c r="BF46" s="13">
        <f t="shared" si="38"/>
        <v>8779.44</v>
      </c>
      <c r="BG46" s="13">
        <f t="shared" si="38"/>
        <v>8798.964</v>
      </c>
      <c r="BH46" s="13">
        <f t="shared" si="38"/>
        <v>8812.121</v>
      </c>
      <c r="BI46" s="13">
        <f>BI5+BI36</f>
        <v>8778.181</v>
      </c>
      <c r="BJ46" s="13">
        <f>BJ5+BJ36</f>
        <v>8824.440180180001</v>
      </c>
    </row>
    <row r="47" spans="1:62" ht="12.75">
      <c r="A47" s="4"/>
      <c r="B47" s="23"/>
      <c r="C47" s="23"/>
      <c r="D47" s="23"/>
      <c r="E47" s="23"/>
      <c r="F47" s="10"/>
      <c r="G47" s="8"/>
      <c r="H47" s="8"/>
      <c r="I47" s="8"/>
      <c r="J47" s="10"/>
      <c r="K47" s="8"/>
      <c r="L47" s="8"/>
      <c r="M47" s="8"/>
      <c r="N47" s="10"/>
      <c r="O47" s="8"/>
      <c r="P47" s="8"/>
      <c r="Q47" s="8"/>
      <c r="R47" s="10"/>
      <c r="S47" s="8"/>
      <c r="T47" s="8"/>
      <c r="U47" s="8"/>
      <c r="V47" s="10"/>
      <c r="W47" s="8"/>
      <c r="X47" s="8"/>
      <c r="Y47" s="8"/>
      <c r="Z47" s="10"/>
      <c r="AA47" s="8"/>
      <c r="AB47" s="8"/>
      <c r="AC47" s="8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</row>
    <row r="48" spans="1:62" ht="12.75">
      <c r="A48" s="3" t="s">
        <v>25</v>
      </c>
      <c r="B48" s="21">
        <f>B46-B11-B12-B30-B32-B37</f>
        <v>2059.100000000001</v>
      </c>
      <c r="C48" s="21">
        <f>C46-C11-C12-C30-C32-C37</f>
        <v>2199.2899999999995</v>
      </c>
      <c r="D48" s="21">
        <f>D46-D11-D12-D30-D32-D37</f>
        <v>2497.5800000000004</v>
      </c>
      <c r="E48" s="21">
        <f>E46-E11-E12-E32-E37</f>
        <v>2898.1700000000005</v>
      </c>
      <c r="F48" s="13">
        <f aca="true" t="shared" si="39" ref="F48:Q48">F46-F11-F12-F32-F37</f>
        <v>2883.270000000001</v>
      </c>
      <c r="G48" s="13">
        <f t="shared" si="39"/>
        <v>2983.3000000000006</v>
      </c>
      <c r="H48" s="13">
        <f t="shared" si="39"/>
        <v>3048.4500000000003</v>
      </c>
      <c r="I48" s="13">
        <f t="shared" si="39"/>
        <v>3123.690000000001</v>
      </c>
      <c r="J48" s="13">
        <f t="shared" si="39"/>
        <v>3134.28</v>
      </c>
      <c r="K48" s="13">
        <f t="shared" si="39"/>
        <v>3240.2100000000005</v>
      </c>
      <c r="L48" s="13">
        <f t="shared" si="39"/>
        <v>3145.5900000000006</v>
      </c>
      <c r="M48" s="13">
        <f t="shared" si="39"/>
        <v>3402.5100000000007</v>
      </c>
      <c r="N48" s="13">
        <f t="shared" si="39"/>
        <v>3541.8799999999997</v>
      </c>
      <c r="O48" s="13">
        <f t="shared" si="39"/>
        <v>3547.8500000000004</v>
      </c>
      <c r="P48" s="13">
        <f t="shared" si="39"/>
        <v>3577.3000000000006</v>
      </c>
      <c r="Q48" s="13">
        <f t="shared" si="39"/>
        <v>3776.600000000001</v>
      </c>
      <c r="R48" s="13">
        <f aca="true" t="shared" si="40" ref="R48:AC48">R46-R11-R12-R32-R37</f>
        <v>3903.3700000000003</v>
      </c>
      <c r="S48" s="13">
        <f t="shared" si="40"/>
        <v>4147.040000000001</v>
      </c>
      <c r="T48" s="13">
        <f t="shared" si="40"/>
        <v>4351.49</v>
      </c>
      <c r="U48" s="13">
        <f t="shared" si="40"/>
        <v>4153.197</v>
      </c>
      <c r="V48" s="13">
        <f t="shared" si="40"/>
        <v>4342.216999999999</v>
      </c>
      <c r="W48" s="13">
        <f t="shared" si="40"/>
        <v>4469.500000000001</v>
      </c>
      <c r="X48" s="13">
        <f t="shared" si="40"/>
        <v>4648.063</v>
      </c>
      <c r="Y48" s="13">
        <f t="shared" si="40"/>
        <v>4745.657999999999</v>
      </c>
      <c r="Z48" s="13">
        <f t="shared" si="40"/>
        <v>4914.238999999999</v>
      </c>
      <c r="AA48" s="13">
        <f t="shared" si="40"/>
        <v>5199.629999999999</v>
      </c>
      <c r="AB48" s="13">
        <f t="shared" si="40"/>
        <v>5158.427</v>
      </c>
      <c r="AC48" s="13">
        <f t="shared" si="40"/>
        <v>5198.73</v>
      </c>
      <c r="AD48" s="13">
        <f aca="true" t="shared" si="41" ref="AD48:AV48">AD46-AD11-AD12-AD32-AD37</f>
        <v>5276.481</v>
      </c>
      <c r="AE48" s="13">
        <f t="shared" si="41"/>
        <v>5382.179</v>
      </c>
      <c r="AF48" s="13">
        <f>AF46-AF11-AF12-AF32-AF37</f>
        <v>5597.912999999999</v>
      </c>
      <c r="AG48" s="13">
        <f>AG46-AG11-AG12-AG32-AG37</f>
        <v>5545.9479999999985</v>
      </c>
      <c r="AH48" s="13">
        <f t="shared" si="41"/>
        <v>5510.111999999999</v>
      </c>
      <c r="AI48" s="13">
        <f t="shared" si="41"/>
        <v>5511.352000000001</v>
      </c>
      <c r="AJ48" s="13">
        <f t="shared" si="41"/>
        <v>5463.18</v>
      </c>
      <c r="AK48" s="13">
        <f t="shared" si="41"/>
        <v>5442.870000000001</v>
      </c>
      <c r="AL48" s="13">
        <f>AL46-AL11-AL12-AL32-AL37</f>
        <v>5584.316999999999</v>
      </c>
      <c r="AM48" s="13">
        <f>AM46-AM11-AM12-AM32-AM37</f>
        <v>5410.3550000000005</v>
      </c>
      <c r="AN48" s="13">
        <f t="shared" si="41"/>
        <v>5477.218999999999</v>
      </c>
      <c r="AO48" s="13">
        <f>AO46-AO11-AO12-AO32-AO37</f>
        <v>5364.438</v>
      </c>
      <c r="AP48" s="13">
        <f t="shared" si="41"/>
        <v>5685.083999999999</v>
      </c>
      <c r="AQ48" s="13">
        <f t="shared" si="41"/>
        <v>5549.883000000002</v>
      </c>
      <c r="AR48" s="13">
        <f>AR46-AR11-AR12-AR32-AR37</f>
        <v>5506.858</v>
      </c>
      <c r="AS48" s="13">
        <f>AS46-AS11-AS12-AS32-AS37</f>
        <v>5529.104000000001</v>
      </c>
      <c r="AT48" s="13">
        <f t="shared" si="41"/>
        <v>5522.709999999999</v>
      </c>
      <c r="AU48" s="13">
        <f t="shared" si="41"/>
        <v>5508.25</v>
      </c>
      <c r="AV48" s="13">
        <f t="shared" si="41"/>
        <v>5438.04</v>
      </c>
      <c r="AW48" s="13">
        <f>AW46-AW11-AW12-AW32-AW37</f>
        <v>5452.13</v>
      </c>
      <c r="AX48" s="13">
        <f aca="true" t="shared" si="42" ref="AX48:BC48">AX46-AX11-AX12-AX32-AX37-AX30</f>
        <v>5461.073</v>
      </c>
      <c r="AY48" s="13">
        <f t="shared" si="42"/>
        <v>5400.242</v>
      </c>
      <c r="AZ48" s="13">
        <f t="shared" si="42"/>
        <v>5678.323</v>
      </c>
      <c r="BA48" s="13">
        <f t="shared" si="42"/>
        <v>5638.767000000002</v>
      </c>
      <c r="BB48" s="13">
        <f t="shared" si="42"/>
        <v>5665.155</v>
      </c>
      <c r="BC48" s="13">
        <f t="shared" si="42"/>
        <v>5607.832</v>
      </c>
      <c r="BD48" s="13">
        <f aca="true" t="shared" si="43" ref="BD48:BI48">BD46-BD11-BD12-BD32-BD37-BD30</f>
        <v>5527.018</v>
      </c>
      <c r="BE48" s="13">
        <f t="shared" si="43"/>
        <v>5404.017</v>
      </c>
      <c r="BF48" s="13">
        <f t="shared" si="43"/>
        <v>5403.379000000001</v>
      </c>
      <c r="BG48" s="13">
        <f t="shared" si="43"/>
        <v>5407.438</v>
      </c>
      <c r="BH48" s="13">
        <f t="shared" si="43"/>
        <v>5396.288</v>
      </c>
      <c r="BI48" s="13">
        <f t="shared" si="43"/>
        <v>5365.853000000001</v>
      </c>
      <c r="BJ48" s="13">
        <f>BJ46-BJ11-BJ12-BJ32-BJ37-BJ30</f>
        <v>5420.5261801800025</v>
      </c>
    </row>
    <row r="49" spans="1:59" ht="12.75">
      <c r="A49" s="3" t="s">
        <v>26</v>
      </c>
      <c r="B49" s="3"/>
      <c r="C49" s="3"/>
      <c r="D49" s="3"/>
      <c r="E49" s="3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BG49" s="8"/>
    </row>
    <row r="50" spans="6:49" ht="12.75"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AV50" s="8"/>
      <c r="AW50" s="8"/>
    </row>
    <row r="51" spans="1:21" ht="12.75">
      <c r="A51" s="17" t="s">
        <v>27</v>
      </c>
      <c r="B51" s="17"/>
      <c r="C51" s="17"/>
      <c r="D51" s="17"/>
      <c r="E51" s="1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62" ht="12.75">
      <c r="A52" s="17" t="s">
        <v>29</v>
      </c>
      <c r="B52" s="16">
        <f>B42+B7+B14+B18-0.48</f>
        <v>444.99</v>
      </c>
      <c r="C52" s="16">
        <f>C42+C7+C14+C18-0.48</f>
        <v>483.61</v>
      </c>
      <c r="D52" s="16">
        <f>D42+D7+D14+D18-0.48</f>
        <v>830.83</v>
      </c>
      <c r="E52" s="16">
        <f>E42+E7+E14+E18-0.48</f>
        <v>1127.27</v>
      </c>
      <c r="F52" s="16">
        <f aca="true" t="shared" si="44" ref="F52:R52">F42+F7+F14+F18-0.48</f>
        <v>1138.22</v>
      </c>
      <c r="G52" s="16">
        <f t="shared" si="44"/>
        <v>1264.67</v>
      </c>
      <c r="H52" s="16">
        <f t="shared" si="44"/>
        <v>1222.8200000000002</v>
      </c>
      <c r="I52" s="16">
        <f t="shared" si="44"/>
        <v>1416.0800000000002</v>
      </c>
      <c r="J52" s="16">
        <f t="shared" si="44"/>
        <v>1493.89</v>
      </c>
      <c r="K52" s="16">
        <f t="shared" si="44"/>
        <v>1525.3700000000001</v>
      </c>
      <c r="L52" s="16">
        <f t="shared" si="44"/>
        <v>1535.1299999999999</v>
      </c>
      <c r="M52" s="16">
        <f t="shared" si="44"/>
        <v>1571.53</v>
      </c>
      <c r="N52" s="16">
        <f t="shared" si="44"/>
        <v>1628.45</v>
      </c>
      <c r="O52" s="16">
        <f t="shared" si="44"/>
        <v>1779.27</v>
      </c>
      <c r="P52" s="16">
        <f t="shared" si="44"/>
        <v>1870.5199999999998</v>
      </c>
      <c r="Q52" s="16">
        <f t="shared" si="44"/>
        <v>1949.16</v>
      </c>
      <c r="R52" s="16">
        <f t="shared" si="44"/>
        <v>2381.22</v>
      </c>
      <c r="S52" s="16">
        <f aca="true" t="shared" si="45" ref="S52:AC52">S42+S7+S14+S18-0.48</f>
        <v>2216.9199999999996</v>
      </c>
      <c r="T52" s="16">
        <f t="shared" si="45"/>
        <v>2348.5199999999995</v>
      </c>
      <c r="U52" s="16">
        <f t="shared" si="45"/>
        <v>2273.3199999999997</v>
      </c>
      <c r="V52" s="16">
        <f t="shared" si="45"/>
        <v>2478.22</v>
      </c>
      <c r="W52" s="16">
        <f t="shared" si="45"/>
        <v>2642.82</v>
      </c>
      <c r="X52" s="16">
        <f t="shared" si="45"/>
        <v>2688.02</v>
      </c>
      <c r="Y52" s="16">
        <f t="shared" si="45"/>
        <v>2703.6099999999997</v>
      </c>
      <c r="Z52" s="16">
        <f t="shared" si="45"/>
        <v>2581.86</v>
      </c>
      <c r="AA52" s="16">
        <f t="shared" si="45"/>
        <v>2732.45</v>
      </c>
      <c r="AB52" s="16">
        <f t="shared" si="45"/>
        <v>3067.93</v>
      </c>
      <c r="AC52" s="16">
        <f t="shared" si="45"/>
        <v>3226.7200000000003</v>
      </c>
      <c r="AD52" s="16">
        <f aca="true" t="shared" si="46" ref="AD52:AV52">AD42+AD7+AD14+AD18-0.48</f>
        <v>3275.28</v>
      </c>
      <c r="AE52" s="16">
        <f t="shared" si="46"/>
        <v>3506.16</v>
      </c>
      <c r="AF52" s="16">
        <f>AF42+AF7+AF14+AF18-0.48</f>
        <v>3542.3900000000003</v>
      </c>
      <c r="AG52" s="16">
        <f>AG42+AG7+AG14+AG18-0.48</f>
        <v>3514.6349999999998</v>
      </c>
      <c r="AH52" s="16">
        <f t="shared" si="46"/>
        <v>3568.5</v>
      </c>
      <c r="AI52" s="16">
        <f t="shared" si="46"/>
        <v>3569.2200000000003</v>
      </c>
      <c r="AJ52" s="16">
        <f t="shared" si="46"/>
        <v>3573.13</v>
      </c>
      <c r="AK52" s="16">
        <f t="shared" si="46"/>
        <v>3562.57</v>
      </c>
      <c r="AL52" s="16">
        <f>AL42+AL7+AL14+AL18-0.48</f>
        <v>3628.592</v>
      </c>
      <c r="AM52" s="16">
        <f>AM42+AM7+AM14+AM18-0.48</f>
        <v>3478.733</v>
      </c>
      <c r="AN52" s="16">
        <f t="shared" si="46"/>
        <v>3467.846</v>
      </c>
      <c r="AO52" s="16">
        <f>AO42+AO7+AO14+AO18-0.48</f>
        <v>3444.4420000000005</v>
      </c>
      <c r="AP52" s="16">
        <f t="shared" si="46"/>
        <v>3742.681</v>
      </c>
      <c r="AQ52" s="16">
        <f t="shared" si="46"/>
        <v>3623.43</v>
      </c>
      <c r="AR52" s="16">
        <f>AR42+AR7+AR14+AR18-0.48</f>
        <v>3580.33</v>
      </c>
      <c r="AS52" s="16">
        <f>AS42+AS7+AS14+AS18-0.48</f>
        <v>3549.865</v>
      </c>
      <c r="AT52" s="16">
        <f t="shared" si="46"/>
        <v>3619.94</v>
      </c>
      <c r="AU52" s="16">
        <f t="shared" si="46"/>
        <v>3680.9999999999995</v>
      </c>
      <c r="AV52" s="16">
        <f t="shared" si="46"/>
        <v>3631.46</v>
      </c>
      <c r="AW52" s="16">
        <f aca="true" t="shared" si="47" ref="AW52:BB52">AW42+AW7+AW14+AW18-0.48</f>
        <v>3631.46</v>
      </c>
      <c r="AX52" s="16">
        <f t="shared" si="47"/>
        <v>3621.956</v>
      </c>
      <c r="AY52" s="16">
        <f t="shared" si="47"/>
        <v>3509.711</v>
      </c>
      <c r="AZ52" s="16">
        <f t="shared" si="47"/>
        <v>3738.2319999999995</v>
      </c>
      <c r="BA52" s="16">
        <f t="shared" si="47"/>
        <v>3735.4289999999996</v>
      </c>
      <c r="BB52" s="16">
        <f t="shared" si="47"/>
        <v>3821.707</v>
      </c>
      <c r="BC52" s="16">
        <f aca="true" t="shared" si="48" ref="BC52:BH52">BC42+BC7+BC14+BC18-0.48</f>
        <v>3814.0009999999997</v>
      </c>
      <c r="BD52" s="16">
        <f t="shared" si="48"/>
        <v>3808.3909999999996</v>
      </c>
      <c r="BE52" s="16">
        <f t="shared" si="48"/>
        <v>3757.9739999999997</v>
      </c>
      <c r="BF52" s="16">
        <f t="shared" si="48"/>
        <v>3757.336</v>
      </c>
      <c r="BG52" s="16">
        <f t="shared" si="48"/>
        <v>3762.74</v>
      </c>
      <c r="BH52" s="16">
        <f t="shared" si="48"/>
        <v>3751.68</v>
      </c>
      <c r="BI52" s="16">
        <f>BI42+BI7+BI14+BI18-0.48</f>
        <v>3725.8529999999996</v>
      </c>
      <c r="BJ52" s="16">
        <f>BJ42+BJ7+BJ14+BJ18-0.48</f>
        <v>3724.0775</v>
      </c>
    </row>
    <row r="53" spans="1:62" ht="12.75">
      <c r="A53" s="17" t="s">
        <v>30</v>
      </c>
      <c r="B53" s="16">
        <f>B44+B26-B32</f>
        <v>911.3500000000001</v>
      </c>
      <c r="C53" s="16">
        <f>C44+C26-C32</f>
        <v>1100.53</v>
      </c>
      <c r="D53" s="16">
        <f>D44+D26-D32</f>
        <v>1068.1799999999998</v>
      </c>
      <c r="E53" s="16">
        <f>E44+E26-E32</f>
        <v>1074.6299999999999</v>
      </c>
      <c r="F53" s="16">
        <f aca="true" t="shared" si="49" ref="F53:R53">F44+F26-F32</f>
        <v>1055.68</v>
      </c>
      <c r="G53" s="16">
        <f t="shared" si="49"/>
        <v>950.0000000000002</v>
      </c>
      <c r="H53" s="16">
        <f t="shared" si="49"/>
        <v>1028.1099999999997</v>
      </c>
      <c r="I53" s="16">
        <f t="shared" si="49"/>
        <v>993.8300000000002</v>
      </c>
      <c r="J53" s="16">
        <f t="shared" si="49"/>
        <v>951.3999999999999</v>
      </c>
      <c r="K53" s="16">
        <f t="shared" si="49"/>
        <v>872.5699999999997</v>
      </c>
      <c r="L53" s="16">
        <f t="shared" si="49"/>
        <v>882.6000000000001</v>
      </c>
      <c r="M53" s="16">
        <f t="shared" si="49"/>
        <v>877.2699999999998</v>
      </c>
      <c r="N53" s="16">
        <f t="shared" si="49"/>
        <v>930.4099999999996</v>
      </c>
      <c r="O53" s="16">
        <f t="shared" si="49"/>
        <v>981.1500000000001</v>
      </c>
      <c r="P53" s="16">
        <f t="shared" si="49"/>
        <v>873.5999999999999</v>
      </c>
      <c r="Q53" s="16">
        <f t="shared" si="49"/>
        <v>961.31</v>
      </c>
      <c r="R53" s="16">
        <f t="shared" si="49"/>
        <v>763.4000000000001</v>
      </c>
      <c r="S53" s="16">
        <f aca="true" t="shared" si="50" ref="S53:AC53">S44+S26-S32</f>
        <v>830.7000000000003</v>
      </c>
      <c r="T53" s="16">
        <f t="shared" si="50"/>
        <v>735.6999999999998</v>
      </c>
      <c r="U53" s="16">
        <f t="shared" si="50"/>
        <v>611.8469999999998</v>
      </c>
      <c r="V53" s="16">
        <f t="shared" si="50"/>
        <v>597.7269999999999</v>
      </c>
      <c r="W53" s="16">
        <f t="shared" si="50"/>
        <v>552.0100000000002</v>
      </c>
      <c r="X53" s="16">
        <f t="shared" si="50"/>
        <v>684.7729999999997</v>
      </c>
      <c r="Y53" s="16">
        <f t="shared" si="50"/>
        <v>646.8879999999999</v>
      </c>
      <c r="Z53" s="16">
        <f t="shared" si="50"/>
        <v>937.6289999999999</v>
      </c>
      <c r="AA53" s="16">
        <f t="shared" si="50"/>
        <v>1053.0499999999997</v>
      </c>
      <c r="AB53" s="16">
        <f t="shared" si="50"/>
        <v>686.837</v>
      </c>
      <c r="AC53" s="16">
        <f t="shared" si="50"/>
        <v>520.2400000000002</v>
      </c>
      <c r="AD53" s="16">
        <f aca="true" t="shared" si="51" ref="AD53:AV53">AD44+AD26-AD32</f>
        <v>549.8409999999999</v>
      </c>
      <c r="AE53" s="16">
        <f t="shared" si="51"/>
        <v>426.50300000000016</v>
      </c>
      <c r="AF53" s="16">
        <f>AF44+AF26-AF32</f>
        <v>606.433</v>
      </c>
      <c r="AG53" s="16">
        <f>AG44+AG26-AG32</f>
        <v>582.223</v>
      </c>
      <c r="AH53" s="16">
        <f t="shared" si="51"/>
        <v>492.52</v>
      </c>
      <c r="AI53" s="16">
        <f t="shared" si="51"/>
        <v>493.03999999999996</v>
      </c>
      <c r="AJ53" s="16">
        <f t="shared" si="51"/>
        <v>442.6700000000001</v>
      </c>
      <c r="AK53" s="16">
        <f t="shared" si="51"/>
        <v>371.4300000000003</v>
      </c>
      <c r="AL53" s="16">
        <f>AL44+AL26-AL32</f>
        <v>447.2660000000001</v>
      </c>
      <c r="AM53" s="16">
        <f>AM44+AM26-AM32</f>
        <v>423.163</v>
      </c>
      <c r="AN53" s="16">
        <f t="shared" si="51"/>
        <v>500.913</v>
      </c>
      <c r="AO53" s="16">
        <f>AO44+AO26-AO32</f>
        <v>411.53600000000006</v>
      </c>
      <c r="AP53" s="16">
        <f t="shared" si="51"/>
        <v>433.94399999999996</v>
      </c>
      <c r="AQ53" s="16">
        <f t="shared" si="51"/>
        <v>425.62300000000005</v>
      </c>
      <c r="AR53" s="16">
        <f>AR44+AR26-AR32</f>
        <v>426.1080000000002</v>
      </c>
      <c r="AS53" s="16">
        <f>AS44+AS26-AS32</f>
        <v>478.8180000000002</v>
      </c>
      <c r="AT53" s="16">
        <f t="shared" si="51"/>
        <v>403.6800000000003</v>
      </c>
      <c r="AU53" s="16">
        <f t="shared" si="51"/>
        <v>328.1600000000003</v>
      </c>
      <c r="AV53" s="16">
        <f t="shared" si="51"/>
        <v>310.9699999999998</v>
      </c>
      <c r="AW53" s="16">
        <f>AW44+AW26-AW32</f>
        <v>325.05999999999995</v>
      </c>
      <c r="AX53" s="16">
        <f aca="true" t="shared" si="52" ref="AX53:BH53">AX44+AX26-AX32-AX30</f>
        <v>312.067</v>
      </c>
      <c r="AY53" s="16">
        <f t="shared" si="52"/>
        <v>363.74699999999984</v>
      </c>
      <c r="AZ53" s="16">
        <f t="shared" si="52"/>
        <v>413.30700000000024</v>
      </c>
      <c r="BA53" s="16">
        <f t="shared" si="52"/>
        <v>376.5540000000001</v>
      </c>
      <c r="BB53" s="16">
        <f t="shared" si="52"/>
        <v>316.86799999999994</v>
      </c>
      <c r="BC53" s="16">
        <f t="shared" si="52"/>
        <v>270.8109999999997</v>
      </c>
      <c r="BD53" s="16">
        <f t="shared" si="52"/>
        <v>190.22000000000025</v>
      </c>
      <c r="BE53" s="16">
        <f t="shared" si="52"/>
        <v>117.90300000000025</v>
      </c>
      <c r="BF53" s="16">
        <f t="shared" si="52"/>
        <v>117.90300000000025</v>
      </c>
      <c r="BG53" s="16">
        <f t="shared" si="52"/>
        <v>117.90300000000025</v>
      </c>
      <c r="BH53" s="16">
        <f t="shared" si="52"/>
        <v>117.99299999999994</v>
      </c>
      <c r="BI53" s="16">
        <f>BI44+BI26-BI32-BI30</f>
        <v>117</v>
      </c>
      <c r="BJ53" s="16">
        <f>BJ44+BJ26-BJ32-BJ30</f>
        <v>118.16568018000044</v>
      </c>
    </row>
    <row r="54" spans="1:62" ht="12.75">
      <c r="A54" s="17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</row>
    <row r="55" spans="1:62" ht="12.75">
      <c r="A55" s="17" t="s">
        <v>28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</row>
    <row r="56" spans="1:62" ht="12.75">
      <c r="A56" s="17" t="s">
        <v>29</v>
      </c>
      <c r="B56" s="16">
        <f>B39+B21</f>
        <v>342.75</v>
      </c>
      <c r="C56" s="16">
        <f>C39+C21</f>
        <v>282.87</v>
      </c>
      <c r="D56" s="16">
        <f>D39+D21</f>
        <v>236.76999999999998</v>
      </c>
      <c r="E56" s="16">
        <f>E39+E21</f>
        <v>327.28</v>
      </c>
      <c r="F56" s="16">
        <f aca="true" t="shared" si="53" ref="F56:R56">F39+F21</f>
        <v>318.3</v>
      </c>
      <c r="G56" s="16">
        <f t="shared" si="53"/>
        <v>303</v>
      </c>
      <c r="H56" s="16">
        <f t="shared" si="53"/>
        <v>305.99</v>
      </c>
      <c r="I56" s="16">
        <f t="shared" si="53"/>
        <v>336.17</v>
      </c>
      <c r="J56" s="16">
        <f t="shared" si="53"/>
        <v>334.1</v>
      </c>
      <c r="K56" s="16">
        <f t="shared" si="53"/>
        <v>326.65</v>
      </c>
      <c r="L56" s="16">
        <f t="shared" si="53"/>
        <v>324.42</v>
      </c>
      <c r="M56" s="16">
        <f t="shared" si="53"/>
        <v>368.34</v>
      </c>
      <c r="N56" s="16">
        <f t="shared" si="53"/>
        <v>366.42</v>
      </c>
      <c r="O56" s="16">
        <f t="shared" si="53"/>
        <v>334.76</v>
      </c>
      <c r="P56" s="16">
        <f t="shared" si="53"/>
        <v>346.18</v>
      </c>
      <c r="Q56" s="16">
        <f t="shared" si="53"/>
        <v>327.46</v>
      </c>
      <c r="R56" s="16">
        <f t="shared" si="53"/>
        <v>325.5</v>
      </c>
      <c r="S56" s="16">
        <f aca="true" t="shared" si="54" ref="S56:AC56">S39+S21</f>
        <v>308</v>
      </c>
      <c r="T56" s="16">
        <f t="shared" si="54"/>
        <v>1267.27</v>
      </c>
      <c r="U56" s="16">
        <f t="shared" si="54"/>
        <v>1268.03</v>
      </c>
      <c r="V56" s="16">
        <f t="shared" si="54"/>
        <v>1266.27</v>
      </c>
      <c r="W56" s="16">
        <f t="shared" si="54"/>
        <v>1274.67</v>
      </c>
      <c r="X56" s="16">
        <f t="shared" si="54"/>
        <v>1275.27</v>
      </c>
      <c r="Y56" s="16">
        <f t="shared" si="54"/>
        <v>1395.1599999999999</v>
      </c>
      <c r="Z56" s="16">
        <f t="shared" si="54"/>
        <v>1394.75</v>
      </c>
      <c r="AA56" s="16">
        <f t="shared" si="54"/>
        <v>1414.13</v>
      </c>
      <c r="AB56" s="16">
        <f t="shared" si="54"/>
        <v>1403.6599999999999</v>
      </c>
      <c r="AC56" s="16">
        <f t="shared" si="54"/>
        <v>1451.77</v>
      </c>
      <c r="AD56" s="16">
        <f aca="true" t="shared" si="55" ref="AD56:AV56">AD39+AD21</f>
        <v>1451.36</v>
      </c>
      <c r="AE56" s="16">
        <f t="shared" si="55"/>
        <v>1449.516</v>
      </c>
      <c r="AF56" s="16">
        <f>AF39+AF21</f>
        <v>1449.09</v>
      </c>
      <c r="AG56" s="16">
        <f>AG39+AG21</f>
        <v>1449.09</v>
      </c>
      <c r="AH56" s="16">
        <f t="shared" si="55"/>
        <v>1449.092</v>
      </c>
      <c r="AI56" s="16">
        <f t="shared" si="55"/>
        <v>1449.092</v>
      </c>
      <c r="AJ56" s="16">
        <f t="shared" si="55"/>
        <v>1447.38</v>
      </c>
      <c r="AK56" s="16">
        <f t="shared" si="55"/>
        <v>1508.8700000000001</v>
      </c>
      <c r="AL56" s="16">
        <f>AL39+AL21</f>
        <v>1508.459</v>
      </c>
      <c r="AM56" s="16">
        <f>AM39+AM21</f>
        <v>1508.459</v>
      </c>
      <c r="AN56" s="16">
        <f t="shared" si="55"/>
        <v>1508.46</v>
      </c>
      <c r="AO56" s="16">
        <f>AO39+AO21</f>
        <v>1508.46</v>
      </c>
      <c r="AP56" s="16">
        <f t="shared" si="55"/>
        <v>1508.459</v>
      </c>
      <c r="AQ56" s="16">
        <f t="shared" si="55"/>
        <v>1500.8300000000002</v>
      </c>
      <c r="AR56" s="16">
        <f>AR39+AR21</f>
        <v>1500.42</v>
      </c>
      <c r="AS56" s="16">
        <f>AS39+AS21</f>
        <v>1500.421</v>
      </c>
      <c r="AT56" s="16">
        <f t="shared" si="55"/>
        <v>1499.0900000000001</v>
      </c>
      <c r="AU56" s="16">
        <f t="shared" si="55"/>
        <v>1499.0900000000001</v>
      </c>
      <c r="AV56" s="16">
        <f t="shared" si="55"/>
        <v>1495.6100000000001</v>
      </c>
      <c r="AW56" s="16">
        <f aca="true" t="shared" si="56" ref="AW56:BB56">AW39+AW21</f>
        <v>1495.6100000000001</v>
      </c>
      <c r="AX56" s="16">
        <f t="shared" si="56"/>
        <v>1527.0500000000002</v>
      </c>
      <c r="AY56" s="16">
        <f t="shared" si="56"/>
        <v>1526.784</v>
      </c>
      <c r="AZ56" s="16">
        <f t="shared" si="56"/>
        <v>1526.784</v>
      </c>
      <c r="BA56" s="16">
        <f t="shared" si="56"/>
        <v>1526.784</v>
      </c>
      <c r="BB56" s="16">
        <f t="shared" si="56"/>
        <v>1526.5800000000002</v>
      </c>
      <c r="BC56" s="16">
        <f aca="true" t="shared" si="57" ref="BC56:BH56">BC39+BC21</f>
        <v>1523.02</v>
      </c>
      <c r="BD56" s="16">
        <f t="shared" si="57"/>
        <v>1528.4070000000002</v>
      </c>
      <c r="BE56" s="16">
        <f t="shared" si="57"/>
        <v>1528.14</v>
      </c>
      <c r="BF56" s="16">
        <f t="shared" si="57"/>
        <v>1528.14</v>
      </c>
      <c r="BG56" s="16">
        <f t="shared" si="57"/>
        <v>1526.795</v>
      </c>
      <c r="BH56" s="16">
        <f t="shared" si="57"/>
        <v>1526.615</v>
      </c>
      <c r="BI56" s="16">
        <f>BI39+BI21</f>
        <v>1523</v>
      </c>
      <c r="BJ56" s="16">
        <f>BJ39+BJ21</f>
        <v>1578.2830000000001</v>
      </c>
    </row>
    <row r="57" spans="1:62" ht="12.75">
      <c r="A57" s="17" t="s">
        <v>33</v>
      </c>
      <c r="B57" s="18" t="s">
        <v>32</v>
      </c>
      <c r="C57" s="18" t="s">
        <v>32</v>
      </c>
      <c r="D57" s="18" t="s">
        <v>32</v>
      </c>
      <c r="E57" s="18" t="s">
        <v>32</v>
      </c>
      <c r="F57" s="18" t="s">
        <v>32</v>
      </c>
      <c r="G57" s="18" t="s">
        <v>32</v>
      </c>
      <c r="H57" s="18" t="s">
        <v>32</v>
      </c>
      <c r="I57" s="18" t="s">
        <v>32</v>
      </c>
      <c r="J57" s="18" t="s">
        <v>32</v>
      </c>
      <c r="K57" s="18" t="s">
        <v>32</v>
      </c>
      <c r="L57" s="18" t="s">
        <v>32</v>
      </c>
      <c r="M57" s="18" t="s">
        <v>32</v>
      </c>
      <c r="N57" s="18" t="s">
        <v>32</v>
      </c>
      <c r="O57" s="18" t="s">
        <v>32</v>
      </c>
      <c r="P57" s="18" t="s">
        <v>32</v>
      </c>
      <c r="Q57" s="18" t="s">
        <v>32</v>
      </c>
      <c r="R57" s="18" t="s">
        <v>32</v>
      </c>
      <c r="S57" s="18" t="s">
        <v>32</v>
      </c>
      <c r="T57" s="18" t="s">
        <v>32</v>
      </c>
      <c r="U57" s="18" t="s">
        <v>32</v>
      </c>
      <c r="V57" s="18" t="s">
        <v>32</v>
      </c>
      <c r="W57" s="18" t="s">
        <v>32</v>
      </c>
      <c r="X57" s="18" t="s">
        <v>32</v>
      </c>
      <c r="Y57" s="18" t="s">
        <v>32</v>
      </c>
      <c r="Z57" s="18" t="s">
        <v>32</v>
      </c>
      <c r="AA57" s="18" t="s">
        <v>32</v>
      </c>
      <c r="AB57" s="18" t="s">
        <v>32</v>
      </c>
      <c r="AC57" s="18" t="s">
        <v>32</v>
      </c>
      <c r="AD57" s="18" t="s">
        <v>32</v>
      </c>
      <c r="AE57" s="18" t="s">
        <v>32</v>
      </c>
      <c r="AF57" s="18" t="s">
        <v>32</v>
      </c>
      <c r="AG57" s="18" t="s">
        <v>32</v>
      </c>
      <c r="AH57" s="18" t="s">
        <v>32</v>
      </c>
      <c r="AI57" s="18" t="s">
        <v>32</v>
      </c>
      <c r="AJ57" s="18" t="s">
        <v>32</v>
      </c>
      <c r="AK57" s="18" t="s">
        <v>32</v>
      </c>
      <c r="AL57" s="18" t="s">
        <v>32</v>
      </c>
      <c r="AM57" s="18" t="s">
        <v>32</v>
      </c>
      <c r="AN57" s="18" t="s">
        <v>32</v>
      </c>
      <c r="AO57" s="18" t="s">
        <v>32</v>
      </c>
      <c r="AP57" s="18" t="s">
        <v>32</v>
      </c>
      <c r="AQ57" s="18" t="s">
        <v>32</v>
      </c>
      <c r="AR57" s="18" t="s">
        <v>32</v>
      </c>
      <c r="AS57" s="18" t="s">
        <v>32</v>
      </c>
      <c r="AT57" s="18" t="s">
        <v>32</v>
      </c>
      <c r="AU57" s="18" t="s">
        <v>32</v>
      </c>
      <c r="AV57" s="18" t="s">
        <v>32</v>
      </c>
      <c r="AW57" s="18" t="s">
        <v>32</v>
      </c>
      <c r="AX57" s="18" t="s">
        <v>32</v>
      </c>
      <c r="AY57" s="18" t="s">
        <v>32</v>
      </c>
      <c r="AZ57" s="18" t="s">
        <v>32</v>
      </c>
      <c r="BA57" s="18" t="s">
        <v>32</v>
      </c>
      <c r="BB57" s="18" t="s">
        <v>32</v>
      </c>
      <c r="BC57" s="18" t="s">
        <v>32</v>
      </c>
      <c r="BD57" s="18" t="s">
        <v>32</v>
      </c>
      <c r="BE57" s="18" t="s">
        <v>32</v>
      </c>
      <c r="BF57" s="18" t="s">
        <v>32</v>
      </c>
      <c r="BG57" s="18" t="s">
        <v>32</v>
      </c>
      <c r="BH57" s="18" t="s">
        <v>32</v>
      </c>
      <c r="BI57" s="18" t="s">
        <v>32</v>
      </c>
      <c r="BJ57" s="18" t="s">
        <v>32</v>
      </c>
    </row>
    <row r="58" spans="1:62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</row>
    <row r="59" spans="1:62" ht="12.75">
      <c r="A59" s="17" t="s">
        <v>31</v>
      </c>
      <c r="B59" s="16">
        <f>B34</f>
        <v>360.01</v>
      </c>
      <c r="C59" s="16">
        <f>C34</f>
        <v>332.28</v>
      </c>
      <c r="D59" s="16">
        <f>D34</f>
        <v>361.8</v>
      </c>
      <c r="E59" s="16">
        <f>E34</f>
        <v>368.99</v>
      </c>
      <c r="F59" s="16">
        <f aca="true" t="shared" si="58" ref="F59:R59">F34</f>
        <v>371.07</v>
      </c>
      <c r="G59" s="16">
        <f t="shared" si="58"/>
        <v>465.63</v>
      </c>
      <c r="H59" s="16">
        <f t="shared" si="58"/>
        <v>491.53</v>
      </c>
      <c r="I59" s="16">
        <f t="shared" si="58"/>
        <v>377.61</v>
      </c>
      <c r="J59" s="16">
        <f t="shared" si="58"/>
        <v>354.89</v>
      </c>
      <c r="K59" s="16">
        <f t="shared" si="58"/>
        <v>515.62</v>
      </c>
      <c r="L59" s="16">
        <f t="shared" si="58"/>
        <v>403.44</v>
      </c>
      <c r="M59" s="16">
        <f t="shared" si="58"/>
        <v>585.37</v>
      </c>
      <c r="N59" s="16">
        <f t="shared" si="58"/>
        <v>616.6</v>
      </c>
      <c r="O59" s="16">
        <f t="shared" si="58"/>
        <v>452.67</v>
      </c>
      <c r="P59" s="16">
        <f t="shared" si="58"/>
        <v>487</v>
      </c>
      <c r="Q59" s="16">
        <f t="shared" si="58"/>
        <v>538.67</v>
      </c>
      <c r="R59" s="16">
        <f t="shared" si="58"/>
        <v>433.25</v>
      </c>
      <c r="S59" s="16">
        <f aca="true" t="shared" si="59" ref="S59:AC59">S34</f>
        <v>791.42</v>
      </c>
      <c r="T59" s="16">
        <f t="shared" si="59"/>
        <v>0</v>
      </c>
      <c r="U59" s="16">
        <f t="shared" si="59"/>
        <v>0</v>
      </c>
      <c r="V59" s="16">
        <f t="shared" si="59"/>
        <v>0</v>
      </c>
      <c r="W59" s="16">
        <f t="shared" si="59"/>
        <v>0</v>
      </c>
      <c r="X59" s="16">
        <f t="shared" si="59"/>
        <v>0</v>
      </c>
      <c r="Y59" s="16">
        <f t="shared" si="59"/>
        <v>0</v>
      </c>
      <c r="Z59" s="16">
        <f t="shared" si="59"/>
        <v>0</v>
      </c>
      <c r="AA59" s="16">
        <f t="shared" si="59"/>
        <v>0</v>
      </c>
      <c r="AB59" s="16">
        <f t="shared" si="59"/>
        <v>0</v>
      </c>
      <c r="AC59" s="16">
        <f t="shared" si="59"/>
        <v>0</v>
      </c>
      <c r="AD59" s="16">
        <f aca="true" t="shared" si="60" ref="AD59:AV59">AD34</f>
        <v>0</v>
      </c>
      <c r="AE59" s="16">
        <f t="shared" si="60"/>
        <v>0</v>
      </c>
      <c r="AF59" s="16">
        <f>AF34</f>
        <v>0</v>
      </c>
      <c r="AG59" s="16">
        <f>AG34</f>
        <v>0</v>
      </c>
      <c r="AH59" s="16">
        <f t="shared" si="60"/>
        <v>0</v>
      </c>
      <c r="AI59" s="16">
        <f t="shared" si="60"/>
        <v>0</v>
      </c>
      <c r="AJ59" s="16">
        <f t="shared" si="60"/>
        <v>0</v>
      </c>
      <c r="AK59" s="16">
        <f t="shared" si="60"/>
        <v>0</v>
      </c>
      <c r="AL59" s="16">
        <f>AL34</f>
        <v>0</v>
      </c>
      <c r="AM59" s="16">
        <f>AM34</f>
        <v>0</v>
      </c>
      <c r="AN59" s="16">
        <f t="shared" si="60"/>
        <v>0</v>
      </c>
      <c r="AO59" s="16">
        <f>AO34</f>
        <v>0</v>
      </c>
      <c r="AP59" s="16">
        <f t="shared" si="60"/>
        <v>0</v>
      </c>
      <c r="AQ59" s="16">
        <f t="shared" si="60"/>
        <v>0</v>
      </c>
      <c r="AR59" s="16">
        <f>AR34</f>
        <v>0</v>
      </c>
      <c r="AS59" s="16">
        <f>AS34</f>
        <v>0</v>
      </c>
      <c r="AT59" s="16">
        <f t="shared" si="60"/>
        <v>0</v>
      </c>
      <c r="AU59" s="16">
        <f t="shared" si="60"/>
        <v>0</v>
      </c>
      <c r="AV59" s="16">
        <f t="shared" si="60"/>
        <v>0</v>
      </c>
      <c r="AW59" s="16">
        <f aca="true" t="shared" si="61" ref="AW59:BB59">AW34</f>
        <v>0</v>
      </c>
      <c r="AX59" s="16">
        <f t="shared" si="61"/>
        <v>0</v>
      </c>
      <c r="AY59" s="16">
        <f t="shared" si="61"/>
        <v>0</v>
      </c>
      <c r="AZ59" s="16">
        <f t="shared" si="61"/>
        <v>0</v>
      </c>
      <c r="BA59" s="16">
        <f t="shared" si="61"/>
        <v>0</v>
      </c>
      <c r="BB59" s="16">
        <f t="shared" si="61"/>
        <v>0</v>
      </c>
      <c r="BC59" s="16">
        <f aca="true" t="shared" si="62" ref="BC59:BH59">BC34</f>
        <v>0</v>
      </c>
      <c r="BD59" s="16">
        <f t="shared" si="62"/>
        <v>0</v>
      </c>
      <c r="BE59" s="16">
        <f t="shared" si="62"/>
        <v>0</v>
      </c>
      <c r="BF59" s="16">
        <f t="shared" si="62"/>
        <v>0</v>
      </c>
      <c r="BG59" s="16">
        <f t="shared" si="62"/>
        <v>0</v>
      </c>
      <c r="BH59" s="16">
        <f t="shared" si="62"/>
        <v>0</v>
      </c>
      <c r="BI59" s="16">
        <f>BI34</f>
        <v>0</v>
      </c>
      <c r="BJ59" s="16">
        <f>BJ34</f>
        <v>0</v>
      </c>
    </row>
    <row r="60" ht="12.75">
      <c r="R60" s="8"/>
    </row>
    <row r="62" spans="18:50" ht="12.75">
      <c r="R62" s="8"/>
      <c r="AX62" s="20"/>
    </row>
    <row r="64" spans="37:62" s="20" customFormat="1" ht="12.75">
      <c r="AK64" s="20">
        <f>+AK48/7861.6*100</f>
        <v>69.23361656660222</v>
      </c>
      <c r="AM64" s="20">
        <f aca="true" t="shared" si="63" ref="AM64:AU64">AM48/8361.7*100</f>
        <v>64.70400755827164</v>
      </c>
      <c r="AN64" s="20">
        <f t="shared" si="63"/>
        <v>65.50365356327062</v>
      </c>
      <c r="AO64" s="20">
        <f>AO48/8361.7*100</f>
        <v>64.15487281294473</v>
      </c>
      <c r="AP64" s="20">
        <f t="shared" si="63"/>
        <v>67.98957149861869</v>
      </c>
      <c r="AQ64" s="20">
        <f t="shared" si="63"/>
        <v>66.37266345360395</v>
      </c>
      <c r="AR64" s="20">
        <f t="shared" si="63"/>
        <v>65.85811497661959</v>
      </c>
      <c r="AS64" s="20">
        <f t="shared" si="63"/>
        <v>66.12416135474845</v>
      </c>
      <c r="AT64" s="20">
        <f t="shared" si="63"/>
        <v>66.04769365081262</v>
      </c>
      <c r="AU64" s="20">
        <f t="shared" si="63"/>
        <v>65.87476230909982</v>
      </c>
      <c r="AV64" s="20">
        <f>AV48/8379.7*100</f>
        <v>64.89540198336455</v>
      </c>
      <c r="AW64" s="20">
        <f>AW48/8379.7*100</f>
        <v>65.0635464276764</v>
      </c>
      <c r="AX64" s="20">
        <f>AX48/8379.7*100</f>
        <v>65.17026862536845</v>
      </c>
      <c r="AY64" s="20">
        <f>AY48/8929.4*100</f>
        <v>60.477098125293985</v>
      </c>
      <c r="AZ64" s="20">
        <f>AZ48/8929.4*100</f>
        <v>63.59131632584497</v>
      </c>
      <c r="BA64" s="20">
        <f>BA48/8855.5*100</f>
        <v>63.67530912991928</v>
      </c>
      <c r="BB64" s="20">
        <f>BB48/8855.5*100</f>
        <v>63.97329343345943</v>
      </c>
      <c r="BC64" s="20">
        <f>BC48/8855.5*100</f>
        <v>63.325978205634925</v>
      </c>
      <c r="BD64" s="20">
        <f>BD48/8855.5*100</f>
        <v>62.413392806730286</v>
      </c>
      <c r="BE64" s="20">
        <f>BE48/8855.5*100</f>
        <v>61.024414205860765</v>
      </c>
      <c r="BF64" s="20">
        <f>BF48/8896.1*100</f>
        <v>60.738739447623125</v>
      </c>
      <c r="BG64" s="20">
        <f>BG48/8939.1*100</f>
        <v>60.4919734648902</v>
      </c>
      <c r="BH64" s="20">
        <f>BH48/8939.1*100</f>
        <v>60.3672405499435</v>
      </c>
      <c r="BI64" s="20">
        <f>BI48/8962.4*100</f>
        <v>59.87071543336607</v>
      </c>
      <c r="BJ64" s="20">
        <f>BJ48/8962.4*100</f>
        <v>60.48074377599754</v>
      </c>
    </row>
  </sheetData>
  <printOptions/>
  <pageMargins left="0.17" right="0.15748031496062992" top="0.984251968503937" bottom="0.984251968503937" header="0.5118110236220472" footer="0.5118110236220472"/>
  <pageSetup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54"/>
  <sheetViews>
    <sheetView tabSelected="1" workbookViewId="0" topLeftCell="A1">
      <pane xSplit="1" ySplit="5" topLeftCell="AN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T40" sqref="AT40"/>
    </sheetView>
  </sheetViews>
  <sheetFormatPr defaultColWidth="9.140625" defaultRowHeight="12.75"/>
  <cols>
    <col min="1" max="1" width="31.8515625" style="0" customWidth="1"/>
    <col min="2" max="3" width="12.140625" style="0" customWidth="1"/>
    <col min="4" max="5" width="12.57421875" style="0" customWidth="1"/>
    <col min="6" max="6" width="10.8515625" style="0" bestFit="1" customWidth="1"/>
    <col min="7" max="7" width="11.7109375" style="0" bestFit="1" customWidth="1"/>
    <col min="8" max="8" width="11.28125" style="0" bestFit="1" customWidth="1"/>
    <col min="9" max="9" width="11.140625" style="0" bestFit="1" customWidth="1"/>
    <col min="10" max="14" width="11.00390625" style="0" customWidth="1"/>
    <col min="15" max="15" width="11.7109375" style="0" customWidth="1"/>
    <col min="16" max="16" width="13.7109375" style="0" customWidth="1"/>
    <col min="17" max="17" width="13.00390625" style="0" customWidth="1"/>
    <col min="18" max="29" width="12.7109375" style="0" customWidth="1"/>
    <col min="30" max="30" width="11.140625" style="0" customWidth="1"/>
    <col min="31" max="33" width="12.00390625" style="0" customWidth="1"/>
    <col min="34" max="42" width="10.7109375" style="0" customWidth="1"/>
    <col min="43" max="43" width="11.7109375" style="0" bestFit="1" customWidth="1"/>
    <col min="44" max="44" width="9.140625" style="35" customWidth="1"/>
  </cols>
  <sheetData>
    <row r="1" spans="1:17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1" t="s">
        <v>50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43" ht="12.75">
      <c r="A4" s="41"/>
      <c r="B4" s="41"/>
      <c r="C4" s="41"/>
      <c r="D4" s="41"/>
      <c r="E4" s="41"/>
      <c r="F4" s="41" t="s">
        <v>55</v>
      </c>
      <c r="G4" s="41" t="s">
        <v>56</v>
      </c>
      <c r="H4" s="41" t="s">
        <v>57</v>
      </c>
      <c r="I4" s="41" t="s">
        <v>58</v>
      </c>
      <c r="J4" s="41" t="s">
        <v>55</v>
      </c>
      <c r="K4" s="41" t="s">
        <v>56</v>
      </c>
      <c r="L4" s="41" t="s">
        <v>57</v>
      </c>
      <c r="M4" s="41" t="s">
        <v>58</v>
      </c>
      <c r="N4" s="41" t="s">
        <v>55</v>
      </c>
      <c r="O4" s="41" t="s">
        <v>56</v>
      </c>
      <c r="P4" s="41" t="s">
        <v>57</v>
      </c>
      <c r="Q4" s="41" t="s">
        <v>58</v>
      </c>
      <c r="R4" s="41" t="s">
        <v>55</v>
      </c>
      <c r="S4" s="41" t="s">
        <v>56</v>
      </c>
      <c r="T4" s="41" t="s">
        <v>57</v>
      </c>
      <c r="U4" s="41" t="s">
        <v>58</v>
      </c>
      <c r="V4" s="41" t="s">
        <v>55</v>
      </c>
      <c r="W4" s="41" t="s">
        <v>56</v>
      </c>
      <c r="X4" s="41" t="s">
        <v>57</v>
      </c>
      <c r="Y4" s="41" t="s">
        <v>58</v>
      </c>
      <c r="Z4" s="41" t="s">
        <v>55</v>
      </c>
      <c r="AA4" s="41" t="s">
        <v>56</v>
      </c>
      <c r="AB4" s="41" t="s">
        <v>57</v>
      </c>
      <c r="AC4" s="41" t="s">
        <v>58</v>
      </c>
      <c r="AD4" s="41" t="s">
        <v>55</v>
      </c>
      <c r="AE4" s="41" t="s">
        <v>56</v>
      </c>
      <c r="AF4" s="41" t="s">
        <v>57</v>
      </c>
      <c r="AG4" s="41" t="s">
        <v>58</v>
      </c>
      <c r="AH4" s="41" t="s">
        <v>55</v>
      </c>
      <c r="AI4" s="41" t="s">
        <v>56</v>
      </c>
      <c r="AJ4" s="41" t="s">
        <v>57</v>
      </c>
      <c r="AK4" s="41" t="s">
        <v>58</v>
      </c>
      <c r="AL4" s="41" t="s">
        <v>55</v>
      </c>
      <c r="AM4" s="41" t="s">
        <v>56</v>
      </c>
      <c r="AN4" s="41" t="s">
        <v>57</v>
      </c>
      <c r="AO4" s="41" t="s">
        <v>58</v>
      </c>
      <c r="AP4" s="41" t="s">
        <v>55</v>
      </c>
      <c r="AQ4" s="41" t="s">
        <v>56</v>
      </c>
    </row>
    <row r="5" spans="1:43" ht="13.5" thickBot="1">
      <c r="A5" s="39"/>
      <c r="B5" s="40">
        <v>1995</v>
      </c>
      <c r="C5" s="40">
        <v>1996</v>
      </c>
      <c r="D5" s="40">
        <v>1997</v>
      </c>
      <c r="E5" s="40">
        <v>1998</v>
      </c>
      <c r="F5" s="40">
        <v>1999</v>
      </c>
      <c r="G5" s="40">
        <v>1999</v>
      </c>
      <c r="H5" s="40">
        <v>1999</v>
      </c>
      <c r="I5" s="40">
        <v>1999</v>
      </c>
      <c r="J5" s="40" t="s">
        <v>59</v>
      </c>
      <c r="K5" s="40" t="s">
        <v>59</v>
      </c>
      <c r="L5" s="40" t="s">
        <v>59</v>
      </c>
      <c r="M5" s="40" t="s">
        <v>59</v>
      </c>
      <c r="N5" s="40" t="s">
        <v>60</v>
      </c>
      <c r="O5" s="40" t="s">
        <v>60</v>
      </c>
      <c r="P5" s="40" t="s">
        <v>60</v>
      </c>
      <c r="Q5" s="40" t="s">
        <v>60</v>
      </c>
      <c r="R5" s="40" t="s">
        <v>61</v>
      </c>
      <c r="S5" s="40" t="s">
        <v>61</v>
      </c>
      <c r="T5" s="40" t="s">
        <v>61</v>
      </c>
      <c r="U5" s="40" t="s">
        <v>61</v>
      </c>
      <c r="V5" s="40" t="s">
        <v>62</v>
      </c>
      <c r="W5" s="40" t="s">
        <v>62</v>
      </c>
      <c r="X5" s="40" t="s">
        <v>62</v>
      </c>
      <c r="Y5" s="40" t="s">
        <v>62</v>
      </c>
      <c r="Z5" s="40" t="s">
        <v>63</v>
      </c>
      <c r="AA5" s="40" t="s">
        <v>63</v>
      </c>
      <c r="AB5" s="40" t="s">
        <v>63</v>
      </c>
      <c r="AC5" s="40" t="s">
        <v>63</v>
      </c>
      <c r="AD5" s="40" t="s">
        <v>64</v>
      </c>
      <c r="AE5" s="40" t="s">
        <v>64</v>
      </c>
      <c r="AF5" s="40" t="s">
        <v>64</v>
      </c>
      <c r="AG5" s="40" t="s">
        <v>64</v>
      </c>
      <c r="AH5" s="40" t="s">
        <v>65</v>
      </c>
      <c r="AI5" s="40" t="s">
        <v>65</v>
      </c>
      <c r="AJ5" s="40" t="s">
        <v>65</v>
      </c>
      <c r="AK5" s="40" t="s">
        <v>65</v>
      </c>
      <c r="AL5" s="40" t="s">
        <v>66</v>
      </c>
      <c r="AM5" s="40" t="s">
        <v>66</v>
      </c>
      <c r="AN5" s="40" t="s">
        <v>66</v>
      </c>
      <c r="AO5" s="40" t="s">
        <v>66</v>
      </c>
      <c r="AP5" s="40" t="s">
        <v>67</v>
      </c>
      <c r="AQ5" s="40" t="s">
        <v>67</v>
      </c>
    </row>
    <row r="6" spans="1:38" ht="12.75">
      <c r="A6" s="2"/>
      <c r="B6" s="2"/>
      <c r="C6" s="2"/>
      <c r="D6" s="2"/>
      <c r="E6" s="2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43" ht="12.75">
      <c r="A7" s="3" t="s">
        <v>1</v>
      </c>
      <c r="B7" s="21">
        <v>4665.677955965925</v>
      </c>
      <c r="C7" s="21">
        <v>5300.918885855172</v>
      </c>
      <c r="D7" s="21">
        <v>5915.126932001081</v>
      </c>
      <c r="E7" s="21">
        <v>6607.537666118776</v>
      </c>
      <c r="F7" s="21">
        <v>6556.057504690111</v>
      </c>
      <c r="G7" s="21">
        <v>6556.518827079283</v>
      </c>
      <c r="H7" s="21">
        <v>6764.07973017766</v>
      </c>
      <c r="I7" s="21">
        <v>6993.425301653585</v>
      </c>
      <c r="J7" s="21">
        <v>7062.828692202284</v>
      </c>
      <c r="K7" s="21">
        <v>7322.519025277051</v>
      </c>
      <c r="L7" s="21">
        <v>7246.691293308776</v>
      </c>
      <c r="M7" s="21">
        <v>7829.033922573018</v>
      </c>
      <c r="N7" s="21">
        <v>8007.446085081517</v>
      </c>
      <c r="O7" s="21">
        <v>8143.689964016854</v>
      </c>
      <c r="P7" s="21">
        <v>8337.20616326712</v>
      </c>
      <c r="Q7" s="21">
        <v>8940.718364390013</v>
      </c>
      <c r="R7" s="21">
        <v>8853.032938418588</v>
      </c>
      <c r="S7" s="21">
        <v>9468.590779703183</v>
      </c>
      <c r="T7" s="21">
        <v>9837.39240082423</v>
      </c>
      <c r="U7" s="21">
        <v>9756.003171164275</v>
      </c>
      <c r="V7" s="21">
        <v>10103.320837761457</v>
      </c>
      <c r="W7" s="21">
        <v>10345.58685333707</v>
      </c>
      <c r="X7" s="21">
        <v>10589.698158469368</v>
      </c>
      <c r="Y7" s="21">
        <v>10756.496956980833</v>
      </c>
      <c r="Z7" s="21">
        <v>11068.678943537556</v>
      </c>
      <c r="AA7" s="21">
        <v>11370.43162689612</v>
      </c>
      <c r="AB7" s="21">
        <v>11109.818649043014</v>
      </c>
      <c r="AC7" s="21">
        <v>11207.383208548476</v>
      </c>
      <c r="AD7" s="21">
        <v>11342.653184662226</v>
      </c>
      <c r="AE7" s="21">
        <v>11800.575456965456</v>
      </c>
      <c r="AF7" s="21">
        <v>12137.580005262493</v>
      </c>
      <c r="AG7" s="6">
        <v>12210.536793262643</v>
      </c>
      <c r="AH7" s="21">
        <v>12328.919446276446</v>
      </c>
      <c r="AI7" s="21">
        <v>12780.93679199828</v>
      </c>
      <c r="AJ7" s="21">
        <v>12816.817422267179</v>
      </c>
      <c r="AK7" s="6">
        <v>12786.081603317421</v>
      </c>
      <c r="AL7" s="21">
        <v>13153.96549308529</v>
      </c>
      <c r="AM7" s="21">
        <v>13032.270355423274</v>
      </c>
      <c r="AN7" s="21">
        <v>12993.33132857431</v>
      </c>
      <c r="AO7" s="6">
        <v>12945.123446761689</v>
      </c>
      <c r="AP7" s="6">
        <v>12905.661</v>
      </c>
      <c r="AQ7" s="6">
        <v>12508.005000000001</v>
      </c>
    </row>
    <row r="8" spans="1:43" ht="12.75">
      <c r="A8" s="1" t="s">
        <v>2</v>
      </c>
      <c r="B8" s="22">
        <v>761.1306840898452</v>
      </c>
      <c r="C8" s="22">
        <v>827.1168717557931</v>
      </c>
      <c r="D8" s="22">
        <v>1157.6629066044281</v>
      </c>
      <c r="E8" s="22">
        <v>1502.2194732723478</v>
      </c>
      <c r="F8" s="22">
        <v>1520.9286590554168</v>
      </c>
      <c r="G8" s="22">
        <v>1463.058328236006</v>
      </c>
      <c r="H8" s="22">
        <v>1391.5533579144128</v>
      </c>
      <c r="I8" s="22">
        <v>1731.6675608347543</v>
      </c>
      <c r="J8" s="22">
        <v>1864.6138389882346</v>
      </c>
      <c r="K8" s="22">
        <v>1918.4006123627566</v>
      </c>
      <c r="L8" s="22">
        <v>1935.0765624305882</v>
      </c>
      <c r="M8" s="22">
        <v>2008.2047041214887</v>
      </c>
      <c r="N8" s="22">
        <v>2105.4582981646204</v>
      </c>
      <c r="O8" s="22">
        <v>2363.1495675529754</v>
      </c>
      <c r="P8" s="22">
        <v>2519.059449078551</v>
      </c>
      <c r="Q8" s="22">
        <v>2700.410406066219</v>
      </c>
      <c r="R8" s="22">
        <v>2904.451590195362</v>
      </c>
      <c r="S8" s="22">
        <v>2886.3404149167745</v>
      </c>
      <c r="T8" s="22">
        <v>4753.277951865281</v>
      </c>
      <c r="U8" s="22">
        <v>4638.459935004801</v>
      </c>
      <c r="V8" s="22">
        <v>4988.55237034278</v>
      </c>
      <c r="W8" s="22">
        <v>5269.788167593299</v>
      </c>
      <c r="X8" s="22">
        <v>5347.016952743502</v>
      </c>
      <c r="Y8" s="22">
        <v>5383.905657862813</v>
      </c>
      <c r="Z8" s="22">
        <v>5175.8834323752635</v>
      </c>
      <c r="AA8" s="22">
        <v>5433.181723432102</v>
      </c>
      <c r="AB8" s="22">
        <v>5513.742281392989</v>
      </c>
      <c r="AC8" s="22">
        <v>5775.756312428026</v>
      </c>
      <c r="AD8" s="22">
        <v>5858.725998421252</v>
      </c>
      <c r="AE8" s="22">
        <v>6253.207899206183</v>
      </c>
      <c r="AF8" s="22">
        <v>6359.722113061574</v>
      </c>
      <c r="AG8" s="32">
        <v>6378.9267932626435</v>
      </c>
      <c r="AH8" s="22">
        <v>6217.047058300898</v>
      </c>
      <c r="AI8" s="22">
        <v>6757.484528613949</v>
      </c>
      <c r="AJ8" s="22">
        <v>6751.5215095835465</v>
      </c>
      <c r="AK8" s="32">
        <v>6757.381603317422</v>
      </c>
      <c r="AL8" s="22">
        <v>6951.272395493394</v>
      </c>
      <c r="AM8" s="32">
        <v>7075.941999999999</v>
      </c>
      <c r="AN8" s="32">
        <v>6997.941999999999</v>
      </c>
      <c r="AO8" s="32">
        <v>6928.11315725626</v>
      </c>
      <c r="AP8" s="32">
        <v>6723.411</v>
      </c>
      <c r="AQ8" s="32">
        <v>6280.793</v>
      </c>
    </row>
    <row r="9" spans="1:44" s="17" customFormat="1" ht="12.75">
      <c r="A9" s="1" t="s">
        <v>3</v>
      </c>
      <c r="B9" s="22">
        <v>709.360060416147</v>
      </c>
      <c r="C9" s="22">
        <v>775.705054384784</v>
      </c>
      <c r="D9" s="22">
        <v>1101.3303170822555</v>
      </c>
      <c r="E9" s="22">
        <v>1258.1799294005884</v>
      </c>
      <c r="F9" s="22">
        <v>1273.7623745459393</v>
      </c>
      <c r="G9" s="22">
        <v>1216.8659465481126</v>
      </c>
      <c r="H9" s="22">
        <v>1144.0966111599014</v>
      </c>
      <c r="I9" s="22">
        <v>1474.0958935472959</v>
      </c>
      <c r="J9" s="22">
        <v>1609.1095794448413</v>
      </c>
      <c r="K9" s="22">
        <v>1660.5043108014368</v>
      </c>
      <c r="L9" s="22">
        <v>1676.838540580993</v>
      </c>
      <c r="M9" s="22">
        <v>1730.1469055519296</v>
      </c>
      <c r="N9" s="22">
        <v>1819.4384168782485</v>
      </c>
      <c r="O9" s="22">
        <v>2070.2440224578577</v>
      </c>
      <c r="P9" s="22">
        <v>2221.7286262502694</v>
      </c>
      <c r="Q9" s="22">
        <v>2337.571803975574</v>
      </c>
      <c r="R9" s="22">
        <v>2539.6651824615483</v>
      </c>
      <c r="S9" s="22">
        <v>2519.161965165034</v>
      </c>
      <c r="T9" s="22">
        <v>2739.0589706701476</v>
      </c>
      <c r="U9" s="22">
        <v>2612.280743720036</v>
      </c>
      <c r="V9" s="22">
        <v>2952.8050109863075</v>
      </c>
      <c r="W9" s="22">
        <v>3230.111024921661</v>
      </c>
      <c r="X9" s="22">
        <v>3301.3597050270473</v>
      </c>
      <c r="Y9" s="22">
        <v>3325.758533609899</v>
      </c>
      <c r="Z9" s="22">
        <v>3114.985459801734</v>
      </c>
      <c r="AA9" s="22">
        <v>3379.562392998835</v>
      </c>
      <c r="AB9" s="22">
        <v>3456.0906515580737</v>
      </c>
      <c r="AC9" s="22">
        <v>3704.692161278308</v>
      </c>
      <c r="AD9" s="22">
        <v>3778.401227459276</v>
      </c>
      <c r="AE9" s="22">
        <v>4175.377686348616</v>
      </c>
      <c r="AF9" s="22">
        <v>4281.174287598629</v>
      </c>
      <c r="AG9" s="22">
        <v>4286.7443282975155</v>
      </c>
      <c r="AH9" s="22">
        <v>4125.582205941149</v>
      </c>
      <c r="AI9" s="22">
        <v>4665.6779559659235</v>
      </c>
      <c r="AJ9" s="22">
        <v>4661.184334175105</v>
      </c>
      <c r="AK9" s="22">
        <v>4658.949483489785</v>
      </c>
      <c r="AL9" s="22">
        <v>4857.140416283655</v>
      </c>
      <c r="AM9" s="22">
        <v>4983.985</v>
      </c>
      <c r="AN9" s="22">
        <v>4907.616</v>
      </c>
      <c r="AO9" s="28">
        <v>4835.222476993681</v>
      </c>
      <c r="AP9" s="28">
        <v>4170.069</v>
      </c>
      <c r="AQ9" s="28">
        <v>3737.302</v>
      </c>
      <c r="AR9" s="36"/>
    </row>
    <row r="10" spans="1:43" ht="12.75">
      <c r="A10" s="4" t="s">
        <v>8</v>
      </c>
      <c r="B10" s="23">
        <v>0.8201286918605645</v>
      </c>
      <c r="C10" s="23">
        <v>0.8201286918605645</v>
      </c>
      <c r="D10" s="23">
        <v>0.8201286918605645</v>
      </c>
      <c r="E10" s="23">
        <v>0.8201286918605645</v>
      </c>
      <c r="F10" s="23">
        <v>0.8201286918605645</v>
      </c>
      <c r="G10" s="23">
        <v>0.8201286918605645</v>
      </c>
      <c r="H10" s="23">
        <v>0.8201286918605645</v>
      </c>
      <c r="I10" s="23">
        <v>0.8201286918605645</v>
      </c>
      <c r="J10" s="23">
        <v>0.8201286918605645</v>
      </c>
      <c r="K10" s="23">
        <v>0.8201286918605645</v>
      </c>
      <c r="L10" s="23">
        <v>0.8201286918605645</v>
      </c>
      <c r="M10" s="23">
        <v>0.8201286918605645</v>
      </c>
      <c r="N10" s="23">
        <v>0.8201286918605645</v>
      </c>
      <c r="O10" s="23">
        <v>0.8201286918605645</v>
      </c>
      <c r="P10" s="23">
        <v>0.8201286918605645</v>
      </c>
      <c r="Q10" s="23">
        <v>0.8201286918605645</v>
      </c>
      <c r="R10" s="23">
        <v>0.8201286918605645</v>
      </c>
      <c r="S10" s="23">
        <v>0.8201286918605645</v>
      </c>
      <c r="T10" s="23">
        <v>0.8201286918605645</v>
      </c>
      <c r="U10" s="23">
        <v>0.8201286918605645</v>
      </c>
      <c r="V10" s="23">
        <v>0.8201286918605645</v>
      </c>
      <c r="W10" s="23">
        <v>0.8201286918605645</v>
      </c>
      <c r="X10" s="23">
        <v>0.8201286918605645</v>
      </c>
      <c r="Y10" s="23">
        <v>0.8201286918605645</v>
      </c>
      <c r="Z10" s="23">
        <v>0.8201286918605645</v>
      </c>
      <c r="AA10" s="23">
        <v>0.8201286918605645</v>
      </c>
      <c r="AB10" s="23">
        <v>0.8201286918605645</v>
      </c>
      <c r="AC10" s="23">
        <v>0.82</v>
      </c>
      <c r="AD10" s="23">
        <v>0.8201286918605645</v>
      </c>
      <c r="AE10" s="23">
        <v>0.8201286918605645</v>
      </c>
      <c r="AF10" s="23">
        <v>0.8201286918605645</v>
      </c>
      <c r="AG10" s="23">
        <v>0.82</v>
      </c>
      <c r="AH10" s="23">
        <v>0.8201286918605645</v>
      </c>
      <c r="AI10" s="23">
        <v>0.8201286918605645</v>
      </c>
      <c r="AJ10" s="23">
        <v>0.8201286918605645</v>
      </c>
      <c r="AK10" s="23">
        <v>0.8201286918605645</v>
      </c>
      <c r="AL10" s="23">
        <v>0.8201286918605645</v>
      </c>
      <c r="AM10" s="23">
        <v>0.8201286918605645</v>
      </c>
      <c r="AN10" s="23">
        <v>0.8201286918605645</v>
      </c>
      <c r="AO10" s="23">
        <v>0.8201286918605645</v>
      </c>
      <c r="AP10" s="23">
        <v>0.82</v>
      </c>
      <c r="AQ10" s="23">
        <v>0.82</v>
      </c>
    </row>
    <row r="11" spans="1:43" ht="6.75" customHeight="1">
      <c r="A11" s="4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</row>
    <row r="12" spans="1:45" ht="12.75">
      <c r="A12" s="1" t="s">
        <v>9</v>
      </c>
      <c r="B12" s="22">
        <v>35.8806302688997</v>
      </c>
      <c r="C12" s="22">
        <v>35.880630268899694</v>
      </c>
      <c r="D12" s="22">
        <v>38.44353243096396</v>
      </c>
      <c r="E12" s="22">
        <v>38.443532430963955</v>
      </c>
      <c r="F12" s="22">
        <v>38.44353243096396</v>
      </c>
      <c r="G12" s="22">
        <v>37.503801638207065</v>
      </c>
      <c r="H12" s="22">
        <v>36.56407084545017</v>
      </c>
      <c r="I12" s="22">
        <v>34.17202882752352</v>
      </c>
      <c r="J12" s="22">
        <v>33.23229803476662</v>
      </c>
      <c r="K12" s="22">
        <v>35.897716283313464</v>
      </c>
      <c r="L12" s="22">
        <v>35.897716283313464</v>
      </c>
      <c r="M12" s="22">
        <v>33.744878467179475</v>
      </c>
      <c r="N12" s="22">
        <v>33.574018323041855</v>
      </c>
      <c r="O12" s="22">
        <v>35.70977012476208</v>
      </c>
      <c r="P12" s="22">
        <v>33.36898615007672</v>
      </c>
      <c r="Q12" s="22">
        <v>34.17202882752352</v>
      </c>
      <c r="R12" s="22">
        <v>32.80514767442258</v>
      </c>
      <c r="S12" s="22">
        <v>32.80514767442258</v>
      </c>
      <c r="T12" s="22">
        <v>35.026329548211606</v>
      </c>
      <c r="U12" s="22">
        <v>28.191923782706905</v>
      </c>
      <c r="V12" s="22">
        <v>26.48332234133073</v>
      </c>
      <c r="W12" s="22">
        <v>24.603860755816935</v>
      </c>
      <c r="X12" s="22">
        <v>24.774720899954552</v>
      </c>
      <c r="Y12" s="22">
        <v>23.066119458578378</v>
      </c>
      <c r="Z12" s="22">
        <v>21.784668377546243</v>
      </c>
      <c r="AA12" s="22">
        <v>21.784668377546243</v>
      </c>
      <c r="AB12" s="22">
        <v>19.648916575826025</v>
      </c>
      <c r="AC12" s="22">
        <v>17.94031513444985</v>
      </c>
      <c r="AD12" s="22">
        <v>17.94031513444985</v>
      </c>
      <c r="AE12" s="22">
        <v>16.658864053417716</v>
      </c>
      <c r="AF12" s="22">
        <v>16.658864053417716</v>
      </c>
      <c r="AG12" s="22">
        <v>12.81451081032132</v>
      </c>
      <c r="AH12" s="22">
        <v>12.81451081032132</v>
      </c>
      <c r="AI12" s="22">
        <v>12.81451081032132</v>
      </c>
      <c r="AJ12" s="22">
        <v>12.81451081032132</v>
      </c>
      <c r="AK12" s="22">
        <v>12.81451081032132</v>
      </c>
      <c r="AL12" s="22">
        <v>10.6787590086011</v>
      </c>
      <c r="AM12" s="22">
        <v>9.4</v>
      </c>
      <c r="AN12" s="22">
        <v>9.397</v>
      </c>
      <c r="AO12" s="22">
        <v>6.40725540516066</v>
      </c>
      <c r="AP12" s="22">
        <v>6.41</v>
      </c>
      <c r="AQ12" s="22">
        <v>4.27</v>
      </c>
      <c r="AS12">
        <f>+AO12*0.585274</f>
        <v>3.7499999999999996</v>
      </c>
    </row>
    <row r="13" spans="1:43" ht="6" customHeight="1">
      <c r="A13" s="4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</row>
    <row r="14" spans="1:43" ht="12.75">
      <c r="A14" s="1" t="s">
        <v>10</v>
      </c>
      <c r="B14" s="22">
        <v>15.889993404798439</v>
      </c>
      <c r="C14" s="22">
        <v>15.53118710210944</v>
      </c>
      <c r="D14" s="22">
        <v>17.889057091208564</v>
      </c>
      <c r="E14" s="22">
        <v>22.775657213544427</v>
      </c>
      <c r="F14" s="22">
        <v>25.90239785126283</v>
      </c>
      <c r="G14" s="22">
        <v>25.868225822435306</v>
      </c>
      <c r="H14" s="22">
        <v>28.07232168181057</v>
      </c>
      <c r="I14" s="22">
        <v>30.66939587270236</v>
      </c>
      <c r="J14" s="22">
        <v>29.541718921394082</v>
      </c>
      <c r="K14" s="22">
        <v>29.268342690773895</v>
      </c>
      <c r="L14" s="22">
        <v>29.61006297904913</v>
      </c>
      <c r="M14" s="22">
        <v>40.64762829033923</v>
      </c>
      <c r="N14" s="22">
        <v>48.78057115128983</v>
      </c>
      <c r="O14" s="22">
        <v>53.53048315831559</v>
      </c>
      <c r="P14" s="22">
        <v>60.29654486616525</v>
      </c>
      <c r="Q14" s="22">
        <v>78.0147418132362</v>
      </c>
      <c r="R14" s="22">
        <v>81.32942860950598</v>
      </c>
      <c r="S14" s="22">
        <v>83.72147062743262</v>
      </c>
      <c r="T14" s="22">
        <v>86.4552329336345</v>
      </c>
      <c r="U14" s="22">
        <v>91.58103725776304</v>
      </c>
      <c r="V14" s="22">
        <v>102.8578067708458</v>
      </c>
      <c r="W14" s="22">
        <v>108.6670516715248</v>
      </c>
      <c r="X14" s="22">
        <v>114.4762965722038</v>
      </c>
      <c r="Y14" s="22">
        <v>118.42316590178277</v>
      </c>
      <c r="Z14" s="22">
        <v>122.45546530343054</v>
      </c>
      <c r="AA14" s="22">
        <v>115.17682316316802</v>
      </c>
      <c r="AB14" s="22">
        <v>121.34487436653602</v>
      </c>
      <c r="AC14" s="22">
        <v>126.21438847445813</v>
      </c>
      <c r="AD14" s="22">
        <v>135.475008286717</v>
      </c>
      <c r="AE14" s="22">
        <v>134.26190126333992</v>
      </c>
      <c r="AF14" s="22">
        <v>134.9795138687179</v>
      </c>
      <c r="AG14" s="22">
        <v>140.66915666850056</v>
      </c>
      <c r="AH14" s="22">
        <v>139.95154406312258</v>
      </c>
      <c r="AI14" s="22">
        <v>140.29326435139782</v>
      </c>
      <c r="AJ14" s="22">
        <v>138.8238671118143</v>
      </c>
      <c r="AK14" s="22">
        <v>133.25</v>
      </c>
      <c r="AL14" s="22">
        <v>131.0856111838216</v>
      </c>
      <c r="AM14" s="22">
        <v>130.184</v>
      </c>
      <c r="AN14" s="22">
        <v>128.556</v>
      </c>
      <c r="AO14" s="22">
        <v>122.15560575046902</v>
      </c>
      <c r="AP14" s="22">
        <v>119.572</v>
      </c>
      <c r="AQ14" s="22">
        <v>111.861</v>
      </c>
    </row>
    <row r="15" spans="1:43" ht="12.75">
      <c r="A15" s="4" t="s">
        <v>6</v>
      </c>
      <c r="B15" s="23">
        <v>15.889993404798439</v>
      </c>
      <c r="C15" s="23">
        <v>15.53118710210944</v>
      </c>
      <c r="D15" s="23">
        <v>17.889057091208564</v>
      </c>
      <c r="E15" s="23">
        <v>22.775657213544427</v>
      </c>
      <c r="F15" s="23">
        <v>25.90239785126283</v>
      </c>
      <c r="G15" s="23">
        <v>25.868225822435306</v>
      </c>
      <c r="H15" s="23">
        <v>28.07232168181057</v>
      </c>
      <c r="I15" s="23">
        <v>30.66939587270236</v>
      </c>
      <c r="J15" s="23">
        <v>29.541718921394082</v>
      </c>
      <c r="K15" s="23">
        <v>29.268342690773895</v>
      </c>
      <c r="L15" s="23">
        <v>29.61006297904913</v>
      </c>
      <c r="M15" s="23">
        <v>40.64762829033923</v>
      </c>
      <c r="N15" s="23">
        <v>48.78057115128983</v>
      </c>
      <c r="O15" s="23">
        <v>53.53048315831559</v>
      </c>
      <c r="P15" s="23">
        <v>60.29654486616525</v>
      </c>
      <c r="Q15" s="23">
        <v>78.0147418132362</v>
      </c>
      <c r="R15" s="23">
        <v>81.32942860950598</v>
      </c>
      <c r="S15" s="23">
        <v>83.72147062743262</v>
      </c>
      <c r="T15" s="23">
        <v>86.4552329336345</v>
      </c>
      <c r="U15" s="23">
        <v>91.58103725776304</v>
      </c>
      <c r="V15" s="23">
        <v>102.8578067708458</v>
      </c>
      <c r="W15" s="23">
        <v>108.6670516715248</v>
      </c>
      <c r="X15" s="23">
        <v>114.4762965722038</v>
      </c>
      <c r="Y15" s="23">
        <v>118.42316590178277</v>
      </c>
      <c r="Z15" s="23">
        <v>122.45546530343054</v>
      </c>
      <c r="AA15" s="23">
        <v>115.17682316316802</v>
      </c>
      <c r="AB15" s="23">
        <v>121.34487436653602</v>
      </c>
      <c r="AC15" s="23">
        <v>126.21438847445813</v>
      </c>
      <c r="AD15" s="23">
        <v>135.475008286717</v>
      </c>
      <c r="AE15" s="23">
        <v>134.26190126333992</v>
      </c>
      <c r="AF15" s="23">
        <v>134.9795138687179</v>
      </c>
      <c r="AG15" s="23">
        <v>140.66915666850056</v>
      </c>
      <c r="AH15" s="23">
        <v>139.95154406312258</v>
      </c>
      <c r="AI15" s="23">
        <v>140.29326435139782</v>
      </c>
      <c r="AJ15" s="23">
        <v>138.8238671118143</v>
      </c>
      <c r="AK15" s="23">
        <v>133.25</v>
      </c>
      <c r="AL15" s="23">
        <v>131.0856111838216</v>
      </c>
      <c r="AM15" s="23">
        <v>130.184</v>
      </c>
      <c r="AN15" s="23">
        <v>128.556</v>
      </c>
      <c r="AO15" s="23">
        <v>122.15560575046902</v>
      </c>
      <c r="AP15" s="23">
        <v>119.572</v>
      </c>
      <c r="AQ15" s="23">
        <v>111.861</v>
      </c>
    </row>
    <row r="16" spans="1:43" ht="6.75" customHeight="1">
      <c r="A16" s="4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</row>
    <row r="17" spans="1:43" ht="12.75">
      <c r="A17" s="1" t="s">
        <v>11</v>
      </c>
      <c r="B17" s="22">
        <v>0</v>
      </c>
      <c r="C17" s="22">
        <v>0</v>
      </c>
      <c r="D17" s="22">
        <v>0</v>
      </c>
      <c r="E17" s="22">
        <v>182.82035422725085</v>
      </c>
      <c r="F17" s="22">
        <v>182.82035422725085</v>
      </c>
      <c r="G17" s="22">
        <v>182.82035422725085</v>
      </c>
      <c r="H17" s="22">
        <v>182.82035422725085</v>
      </c>
      <c r="I17" s="22">
        <v>192.73024258723265</v>
      </c>
      <c r="J17" s="22">
        <v>192.73024258723265</v>
      </c>
      <c r="K17" s="22">
        <v>192.73024258723265</v>
      </c>
      <c r="L17" s="22">
        <v>192.73024258723265</v>
      </c>
      <c r="M17" s="22">
        <v>203.66529181204018</v>
      </c>
      <c r="N17" s="22">
        <v>203.66529181204018</v>
      </c>
      <c r="O17" s="22">
        <v>203.66529181204018</v>
      </c>
      <c r="P17" s="22">
        <v>203.66529181204018</v>
      </c>
      <c r="Q17" s="22">
        <v>250.651831449885</v>
      </c>
      <c r="R17" s="22">
        <v>250.651831449885</v>
      </c>
      <c r="S17" s="22">
        <v>250.651831449885</v>
      </c>
      <c r="T17" s="22">
        <v>1892.7374187132866</v>
      </c>
      <c r="U17" s="22">
        <v>1906.406230244296</v>
      </c>
      <c r="V17" s="22">
        <v>1906.406230244296</v>
      </c>
      <c r="W17" s="22">
        <v>1906.406230244296</v>
      </c>
      <c r="X17" s="22">
        <v>1906.406230244296</v>
      </c>
      <c r="Y17" s="22">
        <v>1916.657838892553</v>
      </c>
      <c r="Z17" s="22">
        <v>1916.657838892553</v>
      </c>
      <c r="AA17" s="22">
        <v>1916.657838892553</v>
      </c>
      <c r="AB17" s="22">
        <v>1916.657838892553</v>
      </c>
      <c r="AC17" s="22">
        <v>1926.90944754081</v>
      </c>
      <c r="AD17" s="22">
        <v>1926.90944754081</v>
      </c>
      <c r="AE17" s="22">
        <v>1926.90944754081</v>
      </c>
      <c r="AF17" s="22">
        <v>1926.90944754081</v>
      </c>
      <c r="AG17" s="22">
        <v>1938.6987974863057</v>
      </c>
      <c r="AH17" s="22">
        <v>1938.6987974863057</v>
      </c>
      <c r="AI17" s="22">
        <v>1938.6987974863057</v>
      </c>
      <c r="AJ17" s="22">
        <v>1938.6987974863057</v>
      </c>
      <c r="AK17" s="22">
        <v>1952.367609017315</v>
      </c>
      <c r="AL17" s="22">
        <v>1952.367609017315</v>
      </c>
      <c r="AM17" s="22">
        <v>1952.373</v>
      </c>
      <c r="AN17" s="22">
        <v>1952.373</v>
      </c>
      <c r="AO17" s="22">
        <v>1964.3278191069483</v>
      </c>
      <c r="AP17" s="22">
        <v>2427.36</v>
      </c>
      <c r="AQ17" s="22">
        <v>2427.36</v>
      </c>
    </row>
    <row r="18" spans="1:43" ht="12.75">
      <c r="A18" s="4" t="s">
        <v>4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1642.0855872634015</v>
      </c>
      <c r="U18" s="23">
        <v>1642.0855872634015</v>
      </c>
      <c r="V18" s="23">
        <v>1642.0855872634015</v>
      </c>
      <c r="W18" s="23">
        <v>1642.0855872634015</v>
      </c>
      <c r="X18" s="23">
        <v>1642.0855872634015</v>
      </c>
      <c r="Y18" s="23">
        <v>1642.0855872634015</v>
      </c>
      <c r="Z18" s="23">
        <v>1642.0855872634015</v>
      </c>
      <c r="AA18" s="23">
        <v>1642.0855872634015</v>
      </c>
      <c r="AB18" s="23">
        <v>1642.0855872634015</v>
      </c>
      <c r="AC18" s="23">
        <v>1642.0855872634015</v>
      </c>
      <c r="AD18" s="23">
        <v>1642.0855872634015</v>
      </c>
      <c r="AE18" s="23">
        <v>1642.0855872634015</v>
      </c>
      <c r="AF18" s="23">
        <v>1642.0855872634015</v>
      </c>
      <c r="AG18" s="23">
        <v>1642.0855872634015</v>
      </c>
      <c r="AH18" s="23">
        <v>1642.0855872634015</v>
      </c>
      <c r="AI18" s="23">
        <v>1642.0855872634015</v>
      </c>
      <c r="AJ18" s="23">
        <v>1642.0855872634015</v>
      </c>
      <c r="AK18" s="23">
        <v>1642.0855872634015</v>
      </c>
      <c r="AL18" s="23">
        <v>1642.0855872634015</v>
      </c>
      <c r="AM18" s="23">
        <v>1642.093</v>
      </c>
      <c r="AN18" s="23">
        <v>1642.093</v>
      </c>
      <c r="AO18" s="23">
        <v>1642.0855872634015</v>
      </c>
      <c r="AP18" s="23">
        <v>1642.09</v>
      </c>
      <c r="AQ18" s="23">
        <v>1642.09</v>
      </c>
    </row>
    <row r="19" spans="1:43" ht="12.75">
      <c r="A19" s="4" t="s">
        <v>12</v>
      </c>
      <c r="B19" s="23">
        <v>0</v>
      </c>
      <c r="C19" s="23">
        <v>0</v>
      </c>
      <c r="D19" s="23">
        <v>0</v>
      </c>
      <c r="E19" s="23">
        <v>182.82035422725085</v>
      </c>
      <c r="F19" s="23">
        <v>182.82035422725085</v>
      </c>
      <c r="G19" s="23">
        <v>182.82035422725085</v>
      </c>
      <c r="H19" s="23">
        <v>182.82035422725085</v>
      </c>
      <c r="I19" s="23">
        <v>192.73024258723265</v>
      </c>
      <c r="J19" s="23">
        <v>192.73024258723265</v>
      </c>
      <c r="K19" s="23">
        <v>192.73024258723265</v>
      </c>
      <c r="L19" s="23">
        <v>192.73024258723265</v>
      </c>
      <c r="M19" s="23">
        <v>203.66529181204018</v>
      </c>
      <c r="N19" s="23">
        <v>203.66529181204018</v>
      </c>
      <c r="O19" s="23">
        <v>203.66529181204018</v>
      </c>
      <c r="P19" s="23">
        <v>203.66529181204018</v>
      </c>
      <c r="Q19" s="23">
        <v>250.651831449885</v>
      </c>
      <c r="R19" s="23">
        <v>250.651831449885</v>
      </c>
      <c r="S19" s="23">
        <v>250.651831449885</v>
      </c>
      <c r="T19" s="23">
        <v>250.651831449885</v>
      </c>
      <c r="U19" s="23">
        <v>264.32064298089443</v>
      </c>
      <c r="V19" s="23">
        <v>264.32064298089443</v>
      </c>
      <c r="W19" s="23">
        <v>264.32064298089443</v>
      </c>
      <c r="X19" s="23">
        <v>264.32064298089443</v>
      </c>
      <c r="Y19" s="23">
        <v>274.5722516291515</v>
      </c>
      <c r="Z19" s="23">
        <v>274.5722516291515</v>
      </c>
      <c r="AA19" s="23">
        <v>274.5722516291515</v>
      </c>
      <c r="AB19" s="23">
        <v>274.5722516291515</v>
      </c>
      <c r="AC19" s="23">
        <v>284.8238602774085</v>
      </c>
      <c r="AD19" s="23">
        <v>284.8238602774085</v>
      </c>
      <c r="AE19" s="23">
        <v>284.8238602774085</v>
      </c>
      <c r="AF19" s="23">
        <v>284.8238602774085</v>
      </c>
      <c r="AG19" s="23">
        <v>296.6132102229042</v>
      </c>
      <c r="AH19" s="23">
        <v>296.6132102229042</v>
      </c>
      <c r="AI19" s="23">
        <v>296.6132102229042</v>
      </c>
      <c r="AJ19" s="23">
        <v>296.6132102229042</v>
      </c>
      <c r="AK19" s="23">
        <v>310.28202175391357</v>
      </c>
      <c r="AL19" s="23">
        <v>310.28202175391357</v>
      </c>
      <c r="AM19" s="23">
        <v>310.28</v>
      </c>
      <c r="AN19" s="23">
        <v>310.28</v>
      </c>
      <c r="AO19" s="23">
        <v>322.2422318435468</v>
      </c>
      <c r="AP19" s="23">
        <v>322.24</v>
      </c>
      <c r="AQ19" s="23">
        <v>322.24</v>
      </c>
    </row>
    <row r="20" spans="1:43" ht="12.75">
      <c r="A20" s="4" t="s">
        <v>52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>
        <v>463.03</v>
      </c>
      <c r="AQ20" s="23">
        <v>463.03</v>
      </c>
    </row>
    <row r="21" spans="1:43" ht="6.75" customHeight="1">
      <c r="A21" s="4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</row>
    <row r="22" spans="1:43" ht="12.75">
      <c r="A22" s="1" t="s">
        <v>13</v>
      </c>
      <c r="B22" s="22">
        <v>3904.5472718760793</v>
      </c>
      <c r="C22" s="22">
        <v>4473.802014099379</v>
      </c>
      <c r="D22" s="22">
        <v>4757.464025396652</v>
      </c>
      <c r="E22" s="22">
        <v>5105.318192846427</v>
      </c>
      <c r="F22" s="22">
        <v>5035.128845634695</v>
      </c>
      <c r="G22" s="22">
        <v>5093.460498843277</v>
      </c>
      <c r="H22" s="22">
        <v>5372.526372263248</v>
      </c>
      <c r="I22" s="22">
        <v>5261.75774081883</v>
      </c>
      <c r="J22" s="22">
        <v>5198.21485321405</v>
      </c>
      <c r="K22" s="22">
        <v>5404.118412914294</v>
      </c>
      <c r="L22" s="22">
        <v>5311.614730878187</v>
      </c>
      <c r="M22" s="22">
        <v>5820.829218451529</v>
      </c>
      <c r="N22" s="22">
        <v>5901.987786916897</v>
      </c>
      <c r="O22" s="22">
        <v>5780.540396463878</v>
      </c>
      <c r="P22" s="22">
        <v>5818.146714188568</v>
      </c>
      <c r="Q22" s="22">
        <v>6240.307958323794</v>
      </c>
      <c r="R22" s="22">
        <v>5948.581348223226</v>
      </c>
      <c r="S22" s="22">
        <v>6582.250364786409</v>
      </c>
      <c r="T22" s="22">
        <v>5084.11444895895</v>
      </c>
      <c r="U22" s="22">
        <v>5117.543236159474</v>
      </c>
      <c r="V22" s="22">
        <v>5114.768467418679</v>
      </c>
      <c r="W22" s="22">
        <v>5075.798685743772</v>
      </c>
      <c r="X22" s="22">
        <v>5242.681205725865</v>
      </c>
      <c r="Y22" s="22">
        <v>5372.59129911802</v>
      </c>
      <c r="Z22" s="22">
        <v>5892.795511162293</v>
      </c>
      <c r="AA22" s="22">
        <v>5937.249903464019</v>
      </c>
      <c r="AB22" s="22">
        <v>5596.076367650025</v>
      </c>
      <c r="AC22" s="22">
        <v>5431.6268961204505</v>
      </c>
      <c r="AD22" s="22">
        <v>5483.927186240974</v>
      </c>
      <c r="AE22" s="22">
        <v>5547.367557759272</v>
      </c>
      <c r="AF22" s="22">
        <v>5777.857892200918</v>
      </c>
      <c r="AG22" s="22">
        <v>5831.61</v>
      </c>
      <c r="AH22" s="22">
        <v>6111.872387975547</v>
      </c>
      <c r="AI22" s="22">
        <v>6023.45226338433</v>
      </c>
      <c r="AJ22" s="22">
        <v>6065.295912683632</v>
      </c>
      <c r="AK22" s="22">
        <v>6028.7</v>
      </c>
      <c r="AL22" s="22">
        <v>6202.693097591898</v>
      </c>
      <c r="AM22" s="22">
        <v>5956.336</v>
      </c>
      <c r="AN22" s="22">
        <v>5995.395</v>
      </c>
      <c r="AO22" s="22">
        <v>6017.010289505429</v>
      </c>
      <c r="AP22" s="22">
        <v>6182.25</v>
      </c>
      <c r="AQ22" s="22">
        <v>6227.212</v>
      </c>
    </row>
    <row r="23" spans="1:43" ht="12.75">
      <c r="A23" s="1" t="s">
        <v>14</v>
      </c>
      <c r="B23" s="22">
        <v>3289.433666966242</v>
      </c>
      <c r="C23" s="22">
        <v>3906.067927158904</v>
      </c>
      <c r="D23" s="22">
        <v>4139.292023906752</v>
      </c>
      <c r="E23" s="22">
        <v>4474.861346993032</v>
      </c>
      <c r="F23" s="22">
        <v>4401.118108783237</v>
      </c>
      <c r="G23" s="22">
        <v>4297.884409695288</v>
      </c>
      <c r="H23" s="22">
        <v>4532.697505783616</v>
      </c>
      <c r="I23" s="22">
        <v>4616.572750540772</v>
      </c>
      <c r="J23" s="22">
        <v>4591.849287684059</v>
      </c>
      <c r="K23" s="22">
        <v>4523.12933771191</v>
      </c>
      <c r="L23" s="22">
        <v>4622.296565369383</v>
      </c>
      <c r="M23" s="22">
        <v>4820.665192713157</v>
      </c>
      <c r="N23" s="22">
        <v>4848.464138164347</v>
      </c>
      <c r="O23" s="22">
        <v>5007.107781996125</v>
      </c>
      <c r="P23" s="22">
        <v>4986.05781223837</v>
      </c>
      <c r="Q23" s="22">
        <v>5319.935619897689</v>
      </c>
      <c r="R23" s="22">
        <v>5208.3297737469975</v>
      </c>
      <c r="S23" s="22">
        <v>5230.029012052475</v>
      </c>
      <c r="T23" s="22">
        <v>5084.11444895895</v>
      </c>
      <c r="U23" s="22">
        <v>5117.543236159474</v>
      </c>
      <c r="V23" s="22">
        <v>5114.768467418679</v>
      </c>
      <c r="W23" s="22">
        <v>5075.798685743772</v>
      </c>
      <c r="X23" s="22">
        <v>5242.681205725865</v>
      </c>
      <c r="Y23" s="22">
        <v>5372.59129911802</v>
      </c>
      <c r="Z23" s="22">
        <v>5892.795511162293</v>
      </c>
      <c r="AA23" s="22">
        <v>5937.249903464019</v>
      </c>
      <c r="AB23" s="22">
        <v>5596.076367650025</v>
      </c>
      <c r="AC23" s="22">
        <v>5431.6268961204505</v>
      </c>
      <c r="AD23" s="22">
        <v>5483.927186240974</v>
      </c>
      <c r="AE23" s="22">
        <v>5547.367557759272</v>
      </c>
      <c r="AF23" s="22">
        <v>5777.857892200918</v>
      </c>
      <c r="AG23" s="22">
        <v>5831.61</v>
      </c>
      <c r="AH23" s="22">
        <v>6111.872387975547</v>
      </c>
      <c r="AI23" s="22">
        <v>6023.45226338433</v>
      </c>
      <c r="AJ23" s="22">
        <v>6065.295912683632</v>
      </c>
      <c r="AK23" s="22">
        <v>6028.7</v>
      </c>
      <c r="AL23" s="22">
        <v>6202.693097591898</v>
      </c>
      <c r="AM23" s="22">
        <v>5956.336</v>
      </c>
      <c r="AN23" s="22">
        <v>5995.395</v>
      </c>
      <c r="AO23" s="22">
        <v>6017.010289505429</v>
      </c>
      <c r="AP23" s="22">
        <v>6182.25</v>
      </c>
      <c r="AQ23" s="22">
        <v>6227.212</v>
      </c>
    </row>
    <row r="24" spans="1:43" ht="12.75">
      <c r="A24" s="4" t="s">
        <v>53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</row>
    <row r="25" spans="1:43" ht="12.75">
      <c r="A25" s="4" t="s">
        <v>8</v>
      </c>
      <c r="B25" s="23">
        <v>1965.5580121447395</v>
      </c>
      <c r="C25" s="23">
        <v>2230.852557947218</v>
      </c>
      <c r="D25" s="23">
        <v>2527.414510126881</v>
      </c>
      <c r="E25" s="23">
        <v>2790.7270782573632</v>
      </c>
      <c r="F25" s="23">
        <v>2790.624562170881</v>
      </c>
      <c r="G25" s="23">
        <v>2853.3473210838</v>
      </c>
      <c r="H25" s="23">
        <v>2949.404894117969</v>
      </c>
      <c r="I25" s="23">
        <v>3108.9199246848484</v>
      </c>
      <c r="J25" s="23">
        <v>3134.0876239163194</v>
      </c>
      <c r="K25" s="23">
        <v>3182.133496447818</v>
      </c>
      <c r="L25" s="23">
        <v>3289.894989355413</v>
      </c>
      <c r="M25" s="23">
        <v>3417.1174526802833</v>
      </c>
      <c r="N25" s="23">
        <v>3439.0046371443123</v>
      </c>
      <c r="O25" s="23">
        <v>3522.0939252384355</v>
      </c>
      <c r="P25" s="23">
        <v>3643.3191975040754</v>
      </c>
      <c r="Q25" s="23">
        <v>3786.670858435536</v>
      </c>
      <c r="R25" s="23">
        <v>3946.3567491465537</v>
      </c>
      <c r="S25" s="23">
        <v>3935.079979633471</v>
      </c>
      <c r="T25" s="23">
        <v>4017.9471495402154</v>
      </c>
      <c r="U25" s="23">
        <v>4102.348643541316</v>
      </c>
      <c r="V25" s="23">
        <v>4093.491253669222</v>
      </c>
      <c r="W25" s="23">
        <v>4132.633604089709</v>
      </c>
      <c r="X25" s="23">
        <v>4263.527851912096</v>
      </c>
      <c r="Y25" s="23">
        <v>4456.886859829755</v>
      </c>
      <c r="Z25" s="23">
        <v>4488.685641255207</v>
      </c>
      <c r="AA25" s="23">
        <v>4484.067291559168</v>
      </c>
      <c r="AB25" s="23">
        <v>4520.773176324252</v>
      </c>
      <c r="AC25" s="23">
        <v>4738.430205339722</v>
      </c>
      <c r="AD25" s="23">
        <v>4800.450729060236</v>
      </c>
      <c r="AE25" s="23">
        <v>4880.654189319875</v>
      </c>
      <c r="AF25" s="23">
        <v>4990.55143402919</v>
      </c>
      <c r="AG25" s="23">
        <v>5196.882144089777</v>
      </c>
      <c r="AH25" s="23">
        <v>5256.011714171482</v>
      </c>
      <c r="AI25" s="23">
        <v>5296.232192101477</v>
      </c>
      <c r="AJ25" s="23">
        <v>5375.567682828897</v>
      </c>
      <c r="AK25" s="23">
        <v>5410.785375738543</v>
      </c>
      <c r="AL25" s="23">
        <v>5559.312390435933</v>
      </c>
      <c r="AM25" s="23">
        <v>5631.324815385615</v>
      </c>
      <c r="AN25" s="23">
        <v>5793.95</v>
      </c>
      <c r="AO25" s="23">
        <v>5815.112238028684</v>
      </c>
      <c r="AP25" s="23">
        <v>6040.737</v>
      </c>
      <c r="AQ25" s="23">
        <v>6103.87</v>
      </c>
    </row>
    <row r="26" spans="1:43" ht="6" customHeight="1">
      <c r="A26" s="4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</row>
    <row r="27" spans="1:43" ht="12.75">
      <c r="A27" s="1" t="s">
        <v>16</v>
      </c>
      <c r="B27" s="22">
        <v>615.1136049098371</v>
      </c>
      <c r="C27" s="22">
        <v>567.7340869404758</v>
      </c>
      <c r="D27" s="22">
        <v>618.1720014899005</v>
      </c>
      <c r="E27" s="22">
        <v>630.4568458533952</v>
      </c>
      <c r="F27" s="22">
        <v>634.0107368514576</v>
      </c>
      <c r="G27" s="22">
        <v>795.5760891479888</v>
      </c>
      <c r="H27" s="22">
        <v>839.8288664796318</v>
      </c>
      <c r="I27" s="22">
        <v>645.1849902780579</v>
      </c>
      <c r="J27" s="22">
        <v>606.365565529991</v>
      </c>
      <c r="K27" s="22">
        <v>880.9890752023839</v>
      </c>
      <c r="L27" s="22">
        <v>689.3181655088044</v>
      </c>
      <c r="M27" s="22">
        <v>1000.1640257383722</v>
      </c>
      <c r="N27" s="22">
        <v>1053.5236487525501</v>
      </c>
      <c r="O27" s="22">
        <v>773.4326144677536</v>
      </c>
      <c r="P27" s="22">
        <v>832.0889019501977</v>
      </c>
      <c r="Q27" s="22">
        <v>920.3723384261046</v>
      </c>
      <c r="R27" s="22">
        <v>740.2515744762283</v>
      </c>
      <c r="S27" s="22">
        <v>1352.2213527339331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</row>
    <row r="28" spans="1:43" ht="6" customHeight="1">
      <c r="A28" s="4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</row>
    <row r="29" spans="1:43" ht="12.75">
      <c r="A29" s="3" t="s">
        <v>17</v>
      </c>
      <c r="B29" s="21">
        <v>827.0314416837242</v>
      </c>
      <c r="C29" s="21">
        <v>696.6138936634808</v>
      </c>
      <c r="D29" s="21">
        <v>888.6265236453353</v>
      </c>
      <c r="E29" s="21">
        <v>1143.977009059005</v>
      </c>
      <c r="F29" s="21">
        <v>1169.8964929246815</v>
      </c>
      <c r="G29" s="21">
        <v>1403.0693316292882</v>
      </c>
      <c r="H29" s="21">
        <v>1402.8813854707369</v>
      </c>
      <c r="I29" s="21">
        <v>1461.6060170108362</v>
      </c>
      <c r="J29" s="21">
        <v>1435.4644149577807</v>
      </c>
      <c r="K29" s="21">
        <v>1404.8121050994919</v>
      </c>
      <c r="L29" s="21">
        <v>1426.7334615923482</v>
      </c>
      <c r="M29" s="21">
        <v>1410.5871779713434</v>
      </c>
      <c r="N29" s="21">
        <v>1492.1899828114697</v>
      </c>
      <c r="O29" s="21">
        <v>1449.2357425752725</v>
      </c>
      <c r="P29" s="21">
        <v>1427.263128039175</v>
      </c>
      <c r="Q29" s="21">
        <v>1307.6268551140151</v>
      </c>
      <c r="R29" s="21">
        <v>1771.5975765197156</v>
      </c>
      <c r="S29" s="21">
        <v>1561.0978789421706</v>
      </c>
      <c r="T29" s="21">
        <v>1624.4869924172267</v>
      </c>
      <c r="U29" s="21">
        <v>1451.4740104634752</v>
      </c>
      <c r="V29" s="21">
        <v>1418.2587984431225</v>
      </c>
      <c r="W29" s="21">
        <v>1432.6110505506822</v>
      </c>
      <c r="X29" s="21">
        <v>1624.4869924172267</v>
      </c>
      <c r="Y29" s="21">
        <v>1817.7981594945272</v>
      </c>
      <c r="Z29" s="21">
        <v>1825.4526939518928</v>
      </c>
      <c r="AA29" s="21">
        <v>2006.7011348530773</v>
      </c>
      <c r="AB29" s="21">
        <v>2233.620492282247</v>
      </c>
      <c r="AC29" s="21">
        <v>2422.5778298027935</v>
      </c>
      <c r="AD29" s="21">
        <v>2482.1707150838756</v>
      </c>
      <c r="AE29" s="21">
        <v>2285.0476581908647</v>
      </c>
      <c r="AF29" s="21">
        <v>2276.5268628027216</v>
      </c>
      <c r="AG29" s="21">
        <v>2295.1130292820117</v>
      </c>
      <c r="AH29" s="21">
        <v>2294.446674719875</v>
      </c>
      <c r="AI29" s="21">
        <v>2006.8036220641957</v>
      </c>
      <c r="AJ29" s="21">
        <v>2003.8306555562012</v>
      </c>
      <c r="AK29" s="21">
        <v>2049.176937810325</v>
      </c>
      <c r="AL29" s="21">
        <v>2040.5724498269187</v>
      </c>
      <c r="AM29" s="21">
        <v>2043.345</v>
      </c>
      <c r="AN29" s="21">
        <v>2040.59</v>
      </c>
      <c r="AO29" s="21">
        <v>2132.3277644317022</v>
      </c>
      <c r="AP29" s="21">
        <v>2131.898</v>
      </c>
      <c r="AQ29" s="21">
        <v>2117.674</v>
      </c>
    </row>
    <row r="30" spans="1:44" s="17" customFormat="1" ht="12.75">
      <c r="A30" s="1" t="s">
        <v>18</v>
      </c>
      <c r="B30" s="22">
        <v>8.15002887536436</v>
      </c>
      <c r="C30" s="22">
        <v>8.15002887536436</v>
      </c>
      <c r="D30" s="22">
        <v>8.15002887536436</v>
      </c>
      <c r="E30" s="22">
        <v>8.15002887536436</v>
      </c>
      <c r="F30" s="22">
        <v>8.15002887536436</v>
      </c>
      <c r="G30" s="22">
        <v>8.15002887536436</v>
      </c>
      <c r="H30" s="22">
        <v>8.15002887536436</v>
      </c>
      <c r="I30" s="22">
        <v>8.15002887536436</v>
      </c>
      <c r="J30" s="22">
        <v>8.15002887536436</v>
      </c>
      <c r="K30" s="22">
        <v>8.15002887536436</v>
      </c>
      <c r="L30" s="22">
        <v>8.15002887536436</v>
      </c>
      <c r="M30" s="22">
        <v>8.15002887536436</v>
      </c>
      <c r="N30" s="22">
        <v>8.15002887536436</v>
      </c>
      <c r="O30" s="22">
        <v>8.15002887536436</v>
      </c>
      <c r="P30" s="22">
        <v>8.15002887536436</v>
      </c>
      <c r="Q30" s="22">
        <v>8.15002887536436</v>
      </c>
      <c r="R30" s="22">
        <v>8.15002887536436</v>
      </c>
      <c r="S30" s="22">
        <v>8.15002887536436</v>
      </c>
      <c r="T30" s="22">
        <v>8.15002887536436</v>
      </c>
      <c r="U30" s="22">
        <v>8.15002887536436</v>
      </c>
      <c r="V30" s="22">
        <v>8.15002887536436</v>
      </c>
      <c r="W30" s="22">
        <v>8.15002887536436</v>
      </c>
      <c r="X30" s="22">
        <v>8.15002887536436</v>
      </c>
      <c r="Y30" s="22">
        <v>8.15002887536436</v>
      </c>
      <c r="Z30" s="22">
        <v>8.15002887536436</v>
      </c>
      <c r="AA30" s="22">
        <v>8.15002887536436</v>
      </c>
      <c r="AB30" s="22">
        <v>8.15002887536436</v>
      </c>
      <c r="AC30" s="22">
        <v>8.15</v>
      </c>
      <c r="AD30" s="22">
        <v>8.15</v>
      </c>
      <c r="AE30" s="22">
        <v>8.15</v>
      </c>
      <c r="AF30" s="22">
        <v>8.15</v>
      </c>
      <c r="AG30" s="22">
        <v>8.15</v>
      </c>
      <c r="AH30" s="22">
        <v>8.15</v>
      </c>
      <c r="AI30" s="22">
        <v>8.15</v>
      </c>
      <c r="AJ30" s="22">
        <v>8.15</v>
      </c>
      <c r="AK30" s="22">
        <v>8.15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36"/>
    </row>
    <row r="31" spans="1:43" ht="12.75">
      <c r="A31" s="1" t="s">
        <v>19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</row>
    <row r="32" spans="1:44" s="17" customFormat="1" ht="12.75">
      <c r="A32" s="1" t="s">
        <v>20</v>
      </c>
      <c r="B32" s="22">
        <v>585.6231440316843</v>
      </c>
      <c r="C32" s="22">
        <v>483.31208972207895</v>
      </c>
      <c r="D32" s="22">
        <v>404.5455632746372</v>
      </c>
      <c r="E32" s="22">
        <v>376.37072550634406</v>
      </c>
      <c r="F32" s="22">
        <v>361.027484562786</v>
      </c>
      <c r="G32" s="22">
        <v>334.8858825097305</v>
      </c>
      <c r="H32" s="22">
        <v>339.9946008194453</v>
      </c>
      <c r="I32" s="22">
        <v>381.6503039601965</v>
      </c>
      <c r="J32" s="22">
        <v>378.11349897654776</v>
      </c>
      <c r="K32" s="22">
        <v>365.38441823829527</v>
      </c>
      <c r="L32" s="22">
        <v>361.5742370240264</v>
      </c>
      <c r="M32" s="22">
        <v>425.6809631044605</v>
      </c>
      <c r="N32" s="22">
        <v>422.40044833701825</v>
      </c>
      <c r="O32" s="22">
        <v>368.3061267030485</v>
      </c>
      <c r="P32" s="22">
        <v>387.81835516356443</v>
      </c>
      <c r="Q32" s="22">
        <v>308.84679654315755</v>
      </c>
      <c r="R32" s="22">
        <v>305.4979377180603</v>
      </c>
      <c r="S32" s="22">
        <v>275.59741249397723</v>
      </c>
      <c r="T32" s="22">
        <v>272.5219298995001</v>
      </c>
      <c r="U32" s="22">
        <v>260.15165546393655</v>
      </c>
      <c r="V32" s="22">
        <v>257.1445169271145</v>
      </c>
      <c r="W32" s="22">
        <v>271.4967690346744</v>
      </c>
      <c r="X32" s="22">
        <v>272.5219298995001</v>
      </c>
      <c r="Y32" s="22">
        <v>467.11454805783274</v>
      </c>
      <c r="Z32" s="22">
        <v>466.4140214668686</v>
      </c>
      <c r="AA32" s="22">
        <v>499.52671740073885</v>
      </c>
      <c r="AB32" s="22">
        <v>481.63766030953025</v>
      </c>
      <c r="AC32" s="22">
        <v>553.59</v>
      </c>
      <c r="AD32" s="22">
        <v>552.8863404149167</v>
      </c>
      <c r="AE32" s="22">
        <v>549.7356793570191</v>
      </c>
      <c r="AF32" s="22">
        <v>549.0112323458757</v>
      </c>
      <c r="AG32" s="22">
        <v>639.3586593629651</v>
      </c>
      <c r="AH32" s="22">
        <v>638.6581327720008</v>
      </c>
      <c r="AI32" s="22">
        <v>625.6215037743007</v>
      </c>
      <c r="AJ32" s="22">
        <v>622.6485372663061</v>
      </c>
      <c r="AK32" s="22">
        <v>656.7522220361745</v>
      </c>
      <c r="AL32" s="22">
        <v>656.2977340527684</v>
      </c>
      <c r="AM32" s="22">
        <v>659.071</v>
      </c>
      <c r="AN32" s="22">
        <v>656.316</v>
      </c>
      <c r="AO32" s="22">
        <v>732.328789592567</v>
      </c>
      <c r="AP32" s="22">
        <v>731.898</v>
      </c>
      <c r="AQ32" s="22">
        <v>717.674</v>
      </c>
      <c r="AR32" s="36"/>
    </row>
    <row r="33" spans="1:43" ht="6" customHeight="1">
      <c r="A33" s="4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</row>
    <row r="34" spans="1:44" s="17" customFormat="1" ht="12.75">
      <c r="A34" s="1" t="s">
        <v>22</v>
      </c>
      <c r="B34" s="22">
        <v>0</v>
      </c>
      <c r="C34" s="22">
        <v>0</v>
      </c>
      <c r="D34" s="22">
        <v>262.71455762600084</v>
      </c>
      <c r="E34" s="22">
        <v>607.4761564668856</v>
      </c>
      <c r="F34" s="22">
        <v>607.4761564668856</v>
      </c>
      <c r="G34" s="22">
        <v>881.3991395483142</v>
      </c>
      <c r="H34" s="22">
        <v>881.3991395483142</v>
      </c>
      <c r="I34" s="22">
        <v>881.3991395483142</v>
      </c>
      <c r="J34" s="22">
        <v>881.3991395483142</v>
      </c>
      <c r="K34" s="22">
        <v>881.3991395483142</v>
      </c>
      <c r="L34" s="22">
        <v>881.3991395483142</v>
      </c>
      <c r="M34" s="22">
        <v>881.3991395483142</v>
      </c>
      <c r="N34" s="22">
        <v>881.3991395483142</v>
      </c>
      <c r="O34" s="22">
        <v>881.3991395483142</v>
      </c>
      <c r="P34" s="22">
        <v>881.3991395483142</v>
      </c>
      <c r="Q34" s="22">
        <v>881.3991395483142</v>
      </c>
      <c r="R34" s="22">
        <v>1415.5762941801618</v>
      </c>
      <c r="S34" s="22">
        <v>1152.9642526406435</v>
      </c>
      <c r="T34" s="22">
        <v>1152.9642526406435</v>
      </c>
      <c r="U34" s="22">
        <v>1152.9642526406435</v>
      </c>
      <c r="V34" s="22">
        <v>1152.9642526406435</v>
      </c>
      <c r="W34" s="22">
        <v>1152.9642526406435</v>
      </c>
      <c r="X34" s="22">
        <v>1152.9642526406435</v>
      </c>
      <c r="Y34" s="22">
        <v>1152.9642526406435</v>
      </c>
      <c r="Z34" s="22">
        <v>1152.9642526406435</v>
      </c>
      <c r="AA34" s="22">
        <v>1152.9642526406435</v>
      </c>
      <c r="AB34" s="22">
        <v>1645.6053062326364</v>
      </c>
      <c r="AC34" s="22">
        <v>1665.15170672198</v>
      </c>
      <c r="AD34" s="22">
        <v>1665.15170672198</v>
      </c>
      <c r="AE34" s="22">
        <v>1665.15170672198</v>
      </c>
      <c r="AF34" s="22">
        <v>1665.15170672198</v>
      </c>
      <c r="AG34" s="22">
        <v>1647.6043699190466</v>
      </c>
      <c r="AH34" s="22">
        <v>1647.6385419478743</v>
      </c>
      <c r="AI34" s="22">
        <v>1373.0321182898952</v>
      </c>
      <c r="AJ34" s="22">
        <v>1373.0321182898952</v>
      </c>
      <c r="AK34" s="22">
        <v>1384.2747157741503</v>
      </c>
      <c r="AL34" s="22">
        <v>1384.2747157741503</v>
      </c>
      <c r="AM34" s="22">
        <v>1384.274</v>
      </c>
      <c r="AN34" s="22">
        <v>1384.274</v>
      </c>
      <c r="AO34" s="22">
        <v>1399.9989748391354</v>
      </c>
      <c r="AP34" s="22">
        <v>1400</v>
      </c>
      <c r="AQ34" s="22">
        <v>1400</v>
      </c>
      <c r="AR34" s="36"/>
    </row>
    <row r="35" spans="1:43" ht="6.75" customHeight="1">
      <c r="A35" s="4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</row>
    <row r="36" spans="1:44" s="17" customFormat="1" ht="12.75">
      <c r="A36" s="1" t="s">
        <v>23</v>
      </c>
      <c r="B36" s="22">
        <v>233.25826877667558</v>
      </c>
      <c r="C36" s="22">
        <v>205.15177506603746</v>
      </c>
      <c r="D36" s="22">
        <v>213.216373869333</v>
      </c>
      <c r="E36" s="22">
        <v>151.98009821041086</v>
      </c>
      <c r="F36" s="22">
        <v>193.2428230196455</v>
      </c>
      <c r="G36" s="22">
        <v>178.6342806958792</v>
      </c>
      <c r="H36" s="22">
        <v>173.33761622761307</v>
      </c>
      <c r="I36" s="22">
        <v>190.40654462696105</v>
      </c>
      <c r="J36" s="22">
        <v>167.80174755755425</v>
      </c>
      <c r="K36" s="22">
        <v>149.87851843751815</v>
      </c>
      <c r="L36" s="22">
        <v>175.61005614464338</v>
      </c>
      <c r="M36" s="22">
        <v>95.3570464432044</v>
      </c>
      <c r="N36" s="22">
        <v>180.2403660507728</v>
      </c>
      <c r="O36" s="22">
        <v>191.38044744854548</v>
      </c>
      <c r="P36" s="22">
        <v>149.89560445193194</v>
      </c>
      <c r="Q36" s="22">
        <v>109.23089014717894</v>
      </c>
      <c r="R36" s="22">
        <v>42.373315746129165</v>
      </c>
      <c r="S36" s="22">
        <v>124.38618493218561</v>
      </c>
      <c r="T36" s="22">
        <v>190.85078100171887</v>
      </c>
      <c r="U36" s="22">
        <v>30.208073483530793</v>
      </c>
      <c r="V36" s="22">
        <v>0</v>
      </c>
      <c r="W36" s="22">
        <v>0</v>
      </c>
      <c r="X36" s="22">
        <v>190.85078100171887</v>
      </c>
      <c r="Y36" s="22">
        <v>189.56932992068673</v>
      </c>
      <c r="Z36" s="22">
        <v>197.92439096901623</v>
      </c>
      <c r="AA36" s="22">
        <v>346.0601359363307</v>
      </c>
      <c r="AB36" s="22">
        <v>98.22749686471637</v>
      </c>
      <c r="AC36" s="22">
        <v>195.68612308081345</v>
      </c>
      <c r="AD36" s="22">
        <v>255.9826679469787</v>
      </c>
      <c r="AE36" s="22">
        <v>62.010272111865554</v>
      </c>
      <c r="AF36" s="22">
        <v>54.213923734866064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2">
        <v>0</v>
      </c>
      <c r="AR36" s="36"/>
    </row>
    <row r="37" spans="1:43" ht="5.25" customHeight="1">
      <c r="A37" s="4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</row>
    <row r="38" spans="1:44" ht="12.75">
      <c r="A38" s="3" t="s">
        <v>24</v>
      </c>
      <c r="B38" s="21">
        <v>5492.70939764965</v>
      </c>
      <c r="C38" s="21">
        <v>5997.532779518653</v>
      </c>
      <c r="D38" s="21">
        <v>6803.753455646416</v>
      </c>
      <c r="E38" s="21">
        <v>7751.514675177781</v>
      </c>
      <c r="F38" s="21">
        <v>7725.953997614793</v>
      </c>
      <c r="G38" s="21">
        <v>7959.588158708571</v>
      </c>
      <c r="H38" s="21">
        <v>8166.961115648397</v>
      </c>
      <c r="I38" s="21">
        <v>8455.031318664422</v>
      </c>
      <c r="J38" s="21">
        <v>8498.293107160065</v>
      </c>
      <c r="K38" s="21">
        <v>8727.331130376542</v>
      </c>
      <c r="L38" s="21">
        <v>8673.424754901123</v>
      </c>
      <c r="M38" s="21">
        <v>9239.621100544362</v>
      </c>
      <c r="N38" s="21">
        <v>9499.636067892987</v>
      </c>
      <c r="O38" s="21">
        <v>9592.925706592127</v>
      </c>
      <c r="P38" s="21">
        <v>9764.469291306294</v>
      </c>
      <c r="Q38" s="21">
        <v>10248.345219504028</v>
      </c>
      <c r="R38" s="21">
        <v>10624.630514938304</v>
      </c>
      <c r="S38" s="21">
        <v>11029.688658645355</v>
      </c>
      <c r="T38" s="21">
        <v>11461.879393241457</v>
      </c>
      <c r="U38" s="21">
        <v>11207.47718162775</v>
      </c>
      <c r="V38" s="21">
        <v>11521.57963620458</v>
      </c>
      <c r="W38" s="21">
        <v>11778.197903887753</v>
      </c>
      <c r="X38" s="21">
        <v>12214.185150886595</v>
      </c>
      <c r="Y38" s="21">
        <v>12574.29511647536</v>
      </c>
      <c r="Z38" s="21">
        <v>12894.131637489449</v>
      </c>
      <c r="AA38" s="21">
        <v>13377.132761749197</v>
      </c>
      <c r="AB38" s="21">
        <v>13343.439141325262</v>
      </c>
      <c r="AC38" s="21">
        <v>13629.96103835127</v>
      </c>
      <c r="AD38" s="21">
        <v>13824.823899746101</v>
      </c>
      <c r="AE38" s="21">
        <v>14085.62311515632</v>
      </c>
      <c r="AF38" s="21">
        <v>14414.106868065213</v>
      </c>
      <c r="AG38" s="21">
        <v>14505.649822544656</v>
      </c>
      <c r="AH38" s="21">
        <v>14623.366120996321</v>
      </c>
      <c r="AI38" s="21">
        <v>14787.740414062475</v>
      </c>
      <c r="AJ38" s="21">
        <v>14820.64807782338</v>
      </c>
      <c r="AK38" s="21">
        <v>14835.258541127747</v>
      </c>
      <c r="AL38" s="21">
        <v>15194.53794291221</v>
      </c>
      <c r="AM38" s="21">
        <v>15075.615355423273</v>
      </c>
      <c r="AN38" s="21">
        <v>15033.92132857431</v>
      </c>
      <c r="AO38" s="21">
        <v>15077.451211193391</v>
      </c>
      <c r="AP38" s="21">
        <v>15037.559000000001</v>
      </c>
      <c r="AQ38" s="21">
        <v>14625.679</v>
      </c>
      <c r="AR38" s="37"/>
    </row>
    <row r="39" spans="1:43" ht="12.75">
      <c r="A39" s="4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</row>
    <row r="40" spans="1:43" ht="12.75">
      <c r="A40" s="3" t="s">
        <v>25</v>
      </c>
      <c r="B40" s="21">
        <v>3518.181227937686</v>
      </c>
      <c r="C40" s="21">
        <v>3757.7100640042104</v>
      </c>
      <c r="D40" s="21">
        <v>4267.36878795231</v>
      </c>
      <c r="E40" s="21">
        <v>4951.817439353194</v>
      </c>
      <c r="F40" s="21">
        <v>4926.359277876688</v>
      </c>
      <c r="G40" s="21">
        <v>5097.270680057547</v>
      </c>
      <c r="H40" s="21">
        <v>5208.586063963204</v>
      </c>
      <c r="I40" s="21">
        <v>5337.141236412348</v>
      </c>
      <c r="J40" s="21">
        <v>5355.235325676521</v>
      </c>
      <c r="K40" s="21">
        <v>5536.2274763615</v>
      </c>
      <c r="L40" s="21">
        <v>5374.5596079784855</v>
      </c>
      <c r="M40" s="21">
        <v>5813.533490296853</v>
      </c>
      <c r="N40" s="21">
        <v>6051.661273181449</v>
      </c>
      <c r="O40" s="21">
        <v>6061.861623786465</v>
      </c>
      <c r="P40" s="21">
        <v>6112.179936234993</v>
      </c>
      <c r="Q40" s="21">
        <v>6452.704203501266</v>
      </c>
      <c r="R40" s="21">
        <v>6669.303608224525</v>
      </c>
      <c r="S40" s="21">
        <v>7085.638521444659</v>
      </c>
      <c r="T40" s="21">
        <v>7434.962086134016</v>
      </c>
      <c r="U40" s="21">
        <v>7096.158380519209</v>
      </c>
      <c r="V40" s="21">
        <v>7419.118224968133</v>
      </c>
      <c r="W40" s="21">
        <v>7636.594142230819</v>
      </c>
      <c r="X40" s="21">
        <v>7941.687141407274</v>
      </c>
      <c r="Y40" s="21">
        <v>8108.438099078379</v>
      </c>
      <c r="Z40" s="21">
        <v>8396.475838667016</v>
      </c>
      <c r="AA40" s="21">
        <v>8884.095312622803</v>
      </c>
      <c r="AB40" s="21">
        <v>8813.695807433784</v>
      </c>
      <c r="AC40" s="21">
        <v>8882.560833011548</v>
      </c>
      <c r="AD40" s="21">
        <v>9015.403041994005</v>
      </c>
      <c r="AE40" s="21">
        <v>9195.998797144586</v>
      </c>
      <c r="AF40" s="21">
        <v>9414.585305344162</v>
      </c>
      <c r="AG40" s="21">
        <v>9299.79767845488</v>
      </c>
      <c r="AH40" s="21">
        <v>9358.384278132979</v>
      </c>
      <c r="AI40" s="21">
        <v>9482.538093269137</v>
      </c>
      <c r="AJ40" s="21">
        <v>9436.110266302623</v>
      </c>
      <c r="AK40" s="21">
        <v>9330.927265349223</v>
      </c>
      <c r="AL40" s="21">
        <v>9634.405423784416</v>
      </c>
      <c r="AM40" s="21">
        <v>9443.470411345797</v>
      </c>
      <c r="AN40" s="21">
        <v>9239.15119988245</v>
      </c>
      <c r="AO40" s="21">
        <v>9261.518844472845</v>
      </c>
      <c r="AP40" s="21">
        <v>8855.339</v>
      </c>
      <c r="AQ40" s="21">
        <v>8388.491000000002</v>
      </c>
    </row>
    <row r="41" spans="1:43" ht="12.75">
      <c r="A41" s="3" t="s">
        <v>26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21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</row>
    <row r="42" spans="32:37" ht="12.75">
      <c r="AF42" s="31"/>
      <c r="AK42" s="31"/>
    </row>
    <row r="43" spans="1:43" ht="12.75">
      <c r="A43" s="17" t="s">
        <v>27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</row>
    <row r="44" spans="1:43" ht="12.75">
      <c r="A44" s="17" t="s">
        <v>29</v>
      </c>
      <c r="B44" s="16">
        <v>760.6506840898452</v>
      </c>
      <c r="C44" s="16">
        <v>826.6368717557932</v>
      </c>
      <c r="D44" s="16">
        <v>1419.897464230429</v>
      </c>
      <c r="E44" s="16">
        <v>1926.3952755119826</v>
      </c>
      <c r="F44" s="16">
        <v>1945.1044612950518</v>
      </c>
      <c r="G44" s="16">
        <v>2161.1571135570694</v>
      </c>
      <c r="H44" s="16">
        <v>2089.652143235476</v>
      </c>
      <c r="I44" s="16">
        <v>2419.856457795836</v>
      </c>
      <c r="J44" s="16">
        <v>2552.8027359493162</v>
      </c>
      <c r="K44" s="16">
        <v>2606.5895093238382</v>
      </c>
      <c r="L44" s="16">
        <v>2623.2654593916695</v>
      </c>
      <c r="M44" s="16">
        <v>2685.4585518577624</v>
      </c>
      <c r="N44" s="16">
        <v>2782.712145900894</v>
      </c>
      <c r="O44" s="16">
        <v>3040.40341528925</v>
      </c>
      <c r="P44" s="16">
        <v>3196.3132968148257</v>
      </c>
      <c r="Q44" s="16">
        <v>3330.677714164648</v>
      </c>
      <c r="R44" s="16">
        <v>4068.8960529256387</v>
      </c>
      <c r="S44" s="16">
        <v>3788.172836107533</v>
      </c>
      <c r="T44" s="16">
        <v>4013.024785792637</v>
      </c>
      <c r="U44" s="16">
        <v>3884.5379574011495</v>
      </c>
      <c r="V44" s="16">
        <v>4234.630392739128</v>
      </c>
      <c r="W44" s="16">
        <v>4515.866189989646</v>
      </c>
      <c r="X44" s="16">
        <v>4593.094975139849</v>
      </c>
      <c r="Y44" s="16">
        <v>4619.392071610903</v>
      </c>
      <c r="Z44" s="16">
        <v>4411.369846123354</v>
      </c>
      <c r="AA44" s="16">
        <v>4668.668137180192</v>
      </c>
      <c r="AB44" s="16">
        <v>5241.869748733072</v>
      </c>
      <c r="AC44" s="16">
        <v>5513.178571609196</v>
      </c>
      <c r="AD44" s="16">
        <v>5596.148257602423</v>
      </c>
      <c r="AE44" s="16">
        <v>5990.630158387354</v>
      </c>
      <c r="AF44" s="16">
        <v>6097.144372242745</v>
      </c>
      <c r="AG44" s="16">
        <v>6087.012365695385</v>
      </c>
      <c r="AH44" s="16">
        <v>5925.166802762467</v>
      </c>
      <c r="AI44" s="16">
        <v>6190.997849417538</v>
      </c>
      <c r="AJ44" s="16">
        <v>6185.034830387136</v>
      </c>
      <c r="AK44" s="16">
        <v>6188.468710074258</v>
      </c>
      <c r="AL44" s="16">
        <v>6382.3595022502295</v>
      </c>
      <c r="AM44" s="16">
        <v>6507.023</v>
      </c>
      <c r="AN44" s="16">
        <v>6429.022999999999</v>
      </c>
      <c r="AO44" s="16">
        <v>6362.964184296586</v>
      </c>
      <c r="AP44" s="16">
        <v>5695.231000000001</v>
      </c>
      <c r="AQ44" s="16">
        <v>5252.613</v>
      </c>
    </row>
    <row r="45" spans="1:43" ht="12.75">
      <c r="A45" s="17" t="s">
        <v>30</v>
      </c>
      <c r="B45" s="33">
        <v>1557.1339235981784</v>
      </c>
      <c r="C45" s="33">
        <v>1880.3671442777231</v>
      </c>
      <c r="D45" s="33">
        <v>1825.0938876492041</v>
      </c>
      <c r="E45" s="33">
        <v>1836.1143669460798</v>
      </c>
      <c r="F45" s="33">
        <v>1803.7363696320022</v>
      </c>
      <c r="G45" s="33">
        <v>1623.171369307367</v>
      </c>
      <c r="H45" s="33">
        <v>1756.6302278932599</v>
      </c>
      <c r="I45" s="33">
        <v>1698.0593704828852</v>
      </c>
      <c r="J45" s="33">
        <v>1625.563411325294</v>
      </c>
      <c r="K45" s="33">
        <v>1490.8743597016105</v>
      </c>
      <c r="L45" s="33">
        <v>1508.0116321586133</v>
      </c>
      <c r="M45" s="33">
        <v>1498.9047864760778</v>
      </c>
      <c r="N45" s="33">
        <v>1589.6998670708072</v>
      </c>
      <c r="O45" s="33">
        <v>1676.3943042062342</v>
      </c>
      <c r="P45" s="33">
        <v>1492.6342191862268</v>
      </c>
      <c r="Q45" s="33">
        <v>1642.495651609332</v>
      </c>
      <c r="R45" s="33">
        <v>1304.346340346573</v>
      </c>
      <c r="S45" s="33">
        <v>1419.3352173511898</v>
      </c>
      <c r="T45" s="33">
        <v>1257.0180804204533</v>
      </c>
      <c r="U45" s="33">
        <v>1045.4026661016887</v>
      </c>
      <c r="V45" s="33">
        <v>1021.2772137494576</v>
      </c>
      <c r="W45" s="33">
        <v>943.1650816540632</v>
      </c>
      <c r="X45" s="33">
        <v>1170.0041348154882</v>
      </c>
      <c r="Y45" s="33">
        <v>1105.2737692089522</v>
      </c>
      <c r="Z45" s="33">
        <v>1602.034260876102</v>
      </c>
      <c r="AA45" s="33">
        <v>1799.2427478411819</v>
      </c>
      <c r="AB45" s="33">
        <v>1173.530688190489</v>
      </c>
      <c r="AC45" s="33">
        <v>888.8828138615418</v>
      </c>
      <c r="AD45" s="33">
        <v>255.98266794697884</v>
      </c>
      <c r="AE45" s="33">
        <v>62.01027211186556</v>
      </c>
      <c r="AF45" s="33">
        <v>54.21392373486651</v>
      </c>
      <c r="AG45" s="33">
        <v>633.55</v>
      </c>
      <c r="AH45" s="33">
        <v>0</v>
      </c>
      <c r="AI45" s="33">
        <v>0</v>
      </c>
      <c r="AJ45" s="33">
        <v>0</v>
      </c>
      <c r="AK45" s="33">
        <v>84.57577134812072</v>
      </c>
      <c r="AL45" s="33">
        <v>0</v>
      </c>
      <c r="AM45" s="33">
        <v>0</v>
      </c>
      <c r="AN45" s="33">
        <v>0</v>
      </c>
      <c r="AO45" s="33">
        <v>0</v>
      </c>
      <c r="AP45" s="33">
        <v>0</v>
      </c>
      <c r="AQ45" s="33">
        <v>0</v>
      </c>
    </row>
    <row r="46" spans="1:43" ht="12.75">
      <c r="A46" s="17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</row>
    <row r="47" spans="1:43" ht="12.75">
      <c r="A47" s="17" t="s">
        <v>28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</row>
    <row r="48" spans="1:43" ht="12.75">
      <c r="A48" s="17" t="s">
        <v>29</v>
      </c>
      <c r="B48" s="16">
        <v>585.6231440316843</v>
      </c>
      <c r="C48" s="16">
        <v>483.31208972207895</v>
      </c>
      <c r="D48" s="16">
        <v>404.5455632746372</v>
      </c>
      <c r="E48" s="16">
        <v>559.191079733595</v>
      </c>
      <c r="F48" s="16">
        <v>543.8478387900368</v>
      </c>
      <c r="G48" s="16">
        <v>517.7062367369813</v>
      </c>
      <c r="H48" s="16">
        <v>522.8149550466961</v>
      </c>
      <c r="I48" s="16">
        <v>574.3805465474292</v>
      </c>
      <c r="J48" s="16">
        <v>570.8437415637804</v>
      </c>
      <c r="K48" s="16">
        <v>558.114660825528</v>
      </c>
      <c r="L48" s="16">
        <v>554.304479611259</v>
      </c>
      <c r="M48" s="16">
        <v>629.3462549165007</v>
      </c>
      <c r="N48" s="16">
        <v>626.0657401490585</v>
      </c>
      <c r="O48" s="16">
        <v>571.9714185150887</v>
      </c>
      <c r="P48" s="16">
        <v>591.4836469756046</v>
      </c>
      <c r="Q48" s="16">
        <v>559.4986279930425</v>
      </c>
      <c r="R48" s="16">
        <v>556.1497691679454</v>
      </c>
      <c r="S48" s="16">
        <v>526.2492439438622</v>
      </c>
      <c r="T48" s="16">
        <v>2165.2593486127867</v>
      </c>
      <c r="U48" s="16">
        <v>2166.557885708233</v>
      </c>
      <c r="V48" s="16">
        <v>2163.5507471714104</v>
      </c>
      <c r="W48" s="16">
        <v>2177.9029992789706</v>
      </c>
      <c r="X48" s="16">
        <v>2178.928160143796</v>
      </c>
      <c r="Y48" s="16">
        <v>2383.7723869503857</v>
      </c>
      <c r="Z48" s="16">
        <v>2383.0718603594214</v>
      </c>
      <c r="AA48" s="16">
        <v>2416.1845562932917</v>
      </c>
      <c r="AB48" s="16">
        <v>2398.295499202083</v>
      </c>
      <c r="AC48" s="16">
        <v>2480.4994475408103</v>
      </c>
      <c r="AD48" s="16">
        <v>2479.795787955727</v>
      </c>
      <c r="AE48" s="16">
        <v>2476.645126897829</v>
      </c>
      <c r="AF48" s="16">
        <v>2475.920679886686</v>
      </c>
      <c r="AG48" s="16">
        <v>2578.0574568492707</v>
      </c>
      <c r="AH48" s="16">
        <v>2577.3569302583064</v>
      </c>
      <c r="AI48" s="16">
        <v>2564.3203012606064</v>
      </c>
      <c r="AJ48" s="16">
        <v>2561.347334752612</v>
      </c>
      <c r="AK48" s="16">
        <v>2609.1198310534896</v>
      </c>
      <c r="AL48" s="16">
        <v>2608.6653430700835</v>
      </c>
      <c r="AM48" s="16">
        <v>2611.444</v>
      </c>
      <c r="AN48" s="16">
        <v>2608.6890000000003</v>
      </c>
      <c r="AO48" s="16">
        <v>2696.6566086995153</v>
      </c>
      <c r="AP48" s="16">
        <v>3159.258</v>
      </c>
      <c r="AQ48" s="16">
        <v>3145.0339999999997</v>
      </c>
    </row>
    <row r="49" spans="1:43" ht="12.75">
      <c r="A49" s="17" t="s">
        <v>33</v>
      </c>
      <c r="B49" s="18" t="s">
        <v>32</v>
      </c>
      <c r="C49" s="18" t="s">
        <v>32</v>
      </c>
      <c r="D49" s="18" t="s">
        <v>32</v>
      </c>
      <c r="E49" s="18" t="s">
        <v>32</v>
      </c>
      <c r="F49" s="18" t="s">
        <v>32</v>
      </c>
      <c r="G49" s="18" t="s">
        <v>32</v>
      </c>
      <c r="H49" s="18" t="s">
        <v>32</v>
      </c>
      <c r="I49" s="18" t="s">
        <v>32</v>
      </c>
      <c r="J49" s="18" t="s">
        <v>32</v>
      </c>
      <c r="K49" s="18" t="s">
        <v>32</v>
      </c>
      <c r="L49" s="18" t="s">
        <v>32</v>
      </c>
      <c r="M49" s="18" t="s">
        <v>32</v>
      </c>
      <c r="N49" s="18" t="s">
        <v>32</v>
      </c>
      <c r="O49" s="18" t="s">
        <v>32</v>
      </c>
      <c r="P49" s="18" t="s">
        <v>32</v>
      </c>
      <c r="Q49" s="18" t="s">
        <v>32</v>
      </c>
      <c r="R49" s="18" t="s">
        <v>32</v>
      </c>
      <c r="S49" s="18" t="s">
        <v>32</v>
      </c>
      <c r="T49" s="18" t="s">
        <v>32</v>
      </c>
      <c r="U49" s="18" t="s">
        <v>32</v>
      </c>
      <c r="V49" s="18" t="s">
        <v>32</v>
      </c>
      <c r="W49" s="18" t="s">
        <v>32</v>
      </c>
      <c r="X49" s="18" t="s">
        <v>32</v>
      </c>
      <c r="Y49" s="18" t="s">
        <v>32</v>
      </c>
      <c r="Z49" s="18" t="s">
        <v>32</v>
      </c>
      <c r="AA49" s="18" t="s">
        <v>32</v>
      </c>
      <c r="AB49" s="18" t="s">
        <v>32</v>
      </c>
      <c r="AC49" s="18" t="s">
        <v>32</v>
      </c>
      <c r="AD49" s="18" t="s">
        <v>32</v>
      </c>
      <c r="AE49" s="18" t="s">
        <v>32</v>
      </c>
      <c r="AF49" s="18" t="s">
        <v>32</v>
      </c>
      <c r="AG49" s="18" t="s">
        <v>32</v>
      </c>
      <c r="AH49" s="18" t="s">
        <v>32</v>
      </c>
      <c r="AI49" s="18" t="s">
        <v>32</v>
      </c>
      <c r="AJ49" s="18" t="s">
        <v>32</v>
      </c>
      <c r="AK49" s="18" t="s">
        <v>32</v>
      </c>
      <c r="AL49" s="18" t="s">
        <v>32</v>
      </c>
      <c r="AM49" s="18" t="s">
        <v>32</v>
      </c>
      <c r="AN49" s="18" t="s">
        <v>32</v>
      </c>
      <c r="AO49" s="18" t="s">
        <v>32</v>
      </c>
      <c r="AP49" s="18" t="s">
        <v>32</v>
      </c>
      <c r="AQ49" s="18" t="s">
        <v>32</v>
      </c>
    </row>
    <row r="50" spans="1:43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</row>
    <row r="51" spans="1:43" ht="12.75">
      <c r="A51" s="17" t="s">
        <v>31</v>
      </c>
      <c r="B51" s="16">
        <v>615.1136049098371</v>
      </c>
      <c r="C51" s="16">
        <v>567.7340869404758</v>
      </c>
      <c r="D51" s="16">
        <v>618.1720014899005</v>
      </c>
      <c r="E51" s="16">
        <v>630.4568458533952</v>
      </c>
      <c r="F51" s="16">
        <v>634.0107368514576</v>
      </c>
      <c r="G51" s="16">
        <v>795.5760891479888</v>
      </c>
      <c r="H51" s="16">
        <v>839.8288664796318</v>
      </c>
      <c r="I51" s="16">
        <v>645.1849902780579</v>
      </c>
      <c r="J51" s="16">
        <v>606.365565529991</v>
      </c>
      <c r="K51" s="16">
        <v>880.9890752023839</v>
      </c>
      <c r="L51" s="16">
        <v>689.3181655088044</v>
      </c>
      <c r="M51" s="16">
        <v>1000.1640257383722</v>
      </c>
      <c r="N51" s="16">
        <v>1053.5236487525501</v>
      </c>
      <c r="O51" s="16">
        <v>773.4326144677536</v>
      </c>
      <c r="P51" s="16">
        <v>832.0889019501977</v>
      </c>
      <c r="Q51" s="16">
        <v>920.3723384261046</v>
      </c>
      <c r="R51" s="16">
        <v>740.2515744762283</v>
      </c>
      <c r="S51" s="16">
        <v>1352.2213527339331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</row>
    <row r="52" ht="12.75">
      <c r="R52" s="8"/>
    </row>
    <row r="54" spans="1:44" s="34" customFormat="1" ht="12.75">
      <c r="A54" s="34" t="s">
        <v>54</v>
      </c>
      <c r="AG54" s="34">
        <f>+AG40/7861.6*100</f>
        <v>118.29395642687084</v>
      </c>
      <c r="AH54" s="34">
        <f>AH40/15130.52*100</f>
        <v>61.85104198753895</v>
      </c>
      <c r="AI54" s="34">
        <f>AI40/15130.52*100</f>
        <v>62.671594190213796</v>
      </c>
      <c r="AJ54" s="34">
        <f>AJ40/15130.52*100</f>
        <v>62.36474533791716</v>
      </c>
      <c r="AK54" s="34">
        <f>AK40/15130.52*100</f>
        <v>61.66957424694738</v>
      </c>
      <c r="AL54" s="34">
        <f>AL40/15313.17*100</f>
        <v>62.915813145053676</v>
      </c>
      <c r="AM54" s="34">
        <f>AM40/15490.2*100</f>
        <v>60.964160639280294</v>
      </c>
      <c r="AN54" s="34">
        <f>AN40/15565.6*100</f>
        <v>59.3562162710236</v>
      </c>
      <c r="AO54" s="34">
        <f>AO40/15490.2*100</f>
        <v>59.789536897347</v>
      </c>
      <c r="AP54" s="34">
        <f>AP40/16389.8*100</f>
        <v>54.02957327118085</v>
      </c>
      <c r="AQ54" s="34">
        <f>AQ40/16389.8*100</f>
        <v>51.18116755543083</v>
      </c>
      <c r="AR54" s="38"/>
    </row>
  </sheetData>
  <printOptions/>
  <pageMargins left="0.22" right="0.17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2"/>
  <sheetViews>
    <sheetView workbookViewId="0" topLeftCell="A1">
      <selection activeCell="I31" sqref="I31"/>
    </sheetView>
  </sheetViews>
  <sheetFormatPr defaultColWidth="9.140625" defaultRowHeight="12.75"/>
  <sheetData>
    <row r="2" ht="12.75">
      <c r="A2">
        <v>0.585274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mof</dc:creator>
  <cp:keywords/>
  <dc:description/>
  <cp:lastModifiedBy>MOF</cp:lastModifiedBy>
  <cp:lastPrinted>2008-10-22T08:37:14Z</cp:lastPrinted>
  <dcterms:created xsi:type="dcterms:W3CDTF">2005-02-03T20:25:57Z</dcterms:created>
  <dcterms:modified xsi:type="dcterms:W3CDTF">2008-11-04T11:07:39Z</dcterms:modified>
  <cp:category/>
  <cp:version/>
  <cp:contentType/>
  <cp:contentStatus/>
</cp:coreProperties>
</file>